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lsrvcdf" ContentType="image/p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mc:AlternateContent xmlns:mc="http://schemas.openxmlformats.org/markup-compatibility/2006">
    <mc:Choice Requires="x15">
      <x15ac:absPath xmlns:x15ac="http://schemas.microsoft.com/office/spreadsheetml/2010/11/ac" url="D:\Google Drive MPF\Meu Drive\Documents\0 - SLDE\2025\Pregão\Pregão SRP 90002_2025 - Terceirização\Edital\Edital e anexos\ANEXO III - MODELO PROPOSTA E PLANILHA DE CUSTOS\"/>
    </mc:Choice>
  </mc:AlternateContent>
  <xr:revisionPtr revIDLastSave="0" documentId="13_ncr:1_{A270DC34-8B65-452C-A664-935B9FDABDF4}" xr6:coauthVersionLast="47" xr6:coauthVersionMax="47" xr10:uidLastSave="{00000000-0000-0000-0000-000000000000}"/>
  <bookViews>
    <workbookView xWindow="28680" yWindow="-120" windowWidth="20730" windowHeight="11040" tabRatio="902" xr2:uid="{00000000-000D-0000-FFFF-FFFF00000000}"/>
  </bookViews>
  <sheets>
    <sheet name="INSTRUÇOES PARA PREENCHIMENTO" sheetId="34" r:id="rId1"/>
    <sheet name="Proposta de Preços" sheetId="30" r:id="rId2"/>
    <sheet name="NP" sheetId="2" r:id="rId3"/>
    <sheet name="PC" sheetId="3" r:id="rId4"/>
    <sheet name="Salários.VA.VT.QteDias.LDI.T" sheetId="4" r:id="rId5"/>
    <sheet name="Unif" sheetId="9" r:id="rId6"/>
    <sheet name="Materiais + MLPH" sheetId="32" r:id="rId7"/>
    <sheet name="EPIs" sheetId="33" r:id="rId8"/>
    <sheet name="Marinheiro" sheetId="26" r:id="rId9"/>
    <sheet name="Piloto de Embarcações" sheetId="31" r:id="rId10"/>
  </sheets>
  <externalReferences>
    <externalReference r:id="rId11"/>
    <externalReference r:id="rId12"/>
    <externalReference r:id="rId13"/>
  </externalReferences>
  <definedNames>
    <definedName name="_xlnm.Print_Area" localSheetId="0">'INSTRUÇOES PARA PREENCHIMENTO'!$A$1:$J$25</definedName>
    <definedName name="CATEGORIA_PROFISSIONAL">'[1]INSERÇÃO-DE-DADOS'!$D$23</definedName>
    <definedName name="DATA_APRESENTACAO_PROPOSTA">'[1]INSERÇÃO-DE-DADOS'!$F$11</definedName>
    <definedName name="DATA_DO_ORCAMENTO_ESTIMATIVO">'[1]INSERÇÃO-DE-DADOS'!$F$2</definedName>
    <definedName name="DIAS_AUSENCIAS_LEGAIS">'[2]DADOS-ESTATISTICOS'!$F$27</definedName>
    <definedName name="DIAS_LICENCA_MATERNIDADE">'[2]DADOS-ESTATISTICOS'!$F$33</definedName>
    <definedName name="DIAS_LICENCA_PATERNIDADE">'[2]DADOS-ESTATISTICOS'!$F$28</definedName>
    <definedName name="DIAS_NA_SEMANA">'[2]DADOS-ESTATISTICOS'!$F$5</definedName>
    <definedName name="DIAS_NO_MES">'[2]DADOS-ESTATISTICOS'!$F$22</definedName>
    <definedName name="DIAS_PAGOS_EMPRESA_ACID_TRAB">'[2]DADOS-ESTATISTICOS'!$F$32</definedName>
    <definedName name="DIAS_TRABALHADOS_NO_MES">'[1]INSERÇÃO-DE-DADOS'!$F$43</definedName>
    <definedName name="EMPREG_POR_POSTO">'[1]INSERÇÃO-DE-DADOS'!$E$19</definedName>
    <definedName name="LOCAL_DE_EXECUCAO">'[1]INSERÇÃO-DE-DADOS'!$D$12</definedName>
    <definedName name="MESES_NO_ANO">'[2]DADOS-ESTATISTICOS'!$F$8</definedName>
    <definedName name="MODALIDADE_DE_LICITACAO">'[3]INSERÇÃO-DE-DADOS'!$D$7</definedName>
    <definedName name="NUMERO_MESES_EXEC_CONTRATUAL">'[1]INSERÇÃO-DE-DADOS'!$F$15</definedName>
    <definedName name="NUMERO_PREGAO">'[3]INSERÇÃO-DE-DADOS'!$F$7</definedName>
    <definedName name="NUMERO_PROCESSO">'[3]INSERÇÃO-DE-DADOS'!$D$6</definedName>
    <definedName name="OUTRAS_AUSENCIAS_DESCRICAO">'[1]INSERÇÃO-DE-DADOS'!$C$51</definedName>
    <definedName name="OUTROS_BENEFICIOS_1_DESCRICAO">'[1]INSERÇÃO-DE-DADOS'!$C$44</definedName>
    <definedName name="OUTROS_BENEFICIOS_2">'[1]INSERÇÃO-DE-DADOS'!$F$45</definedName>
    <definedName name="OUTROS_BENEFICIOS_2_DESCRICAO">'[1]INSERÇÃO-DE-DADOS'!$C$45</definedName>
    <definedName name="OUTROS_BENEFICIOS_3">'[1]INSERÇÃO-DE-DADOS'!$F$46</definedName>
    <definedName name="OUTROS_BENEFICIOS_3_DESCRICAO">'[1]INSERÇÃO-DE-DADOS'!$C$46</definedName>
    <definedName name="OUTROS_REMUNERACAO_1">'[1]INSERÇÃO-DE-DADOS'!$F$34</definedName>
    <definedName name="OUTROS_REMUNERACAO_1_DESCRICAO">'[1]INSERÇÃO-DE-DADOS'!$C$34</definedName>
    <definedName name="OUTROS_REMUNERACAO_2">'[1]INSERÇÃO-DE-DADOS'!$F$35</definedName>
    <definedName name="OUTROS_REMUNERACAO_2_DESCRICAO">'[1]INSERÇÃO-DE-DADOS'!$C$35:$E$35</definedName>
    <definedName name="OUTROS_REMUNERACAO_3">'[1]INSERÇÃO-DE-DADOS'!$F$36</definedName>
    <definedName name="OUTROS_REMUNERACAO_3_DESCRICAO">'[1]INSERÇÃO-DE-DADOS'!$C$36:$E$36</definedName>
    <definedName name="PERC_ADIC_INS">'[1]INSERÇÃO-DE-DADOS'!$F$33</definedName>
    <definedName name="PERC_ADIC_NOT">'[1]INSERÇÃO-DE-DADOS'!$F$32</definedName>
    <definedName name="PERC_ADIC_PERIC">'[1]INSERÇÃO-DE-DADOS'!$F$31</definedName>
    <definedName name="PERC_AVISO_PREVIO_TRAB">'[1]ENCARGOS-SOCIAIS-E-TRABALHISTAS'!$E$21</definedName>
    <definedName name="PERC_COFINS">'[1]INSERÇÃO-DE-DADOS'!$F$70</definedName>
    <definedName name="PERC_CUSTOS_INDIRETOS">'[1]INSERÇÃO-DE-DADOS'!$F$67</definedName>
    <definedName name="PERC_EMPREG_AFAST_TRAB">'[2]DADOS-ESTATISTICOS'!$F$31</definedName>
    <definedName name="PERC_EMPREG_AVISO_PREVIO_IND">'[2]DADOS-ESTATISTICOS'!$F$19</definedName>
    <definedName name="PERC_EMPREG_AVISO_PREVIO_TRAB">'[2]DADOS-ESTATISTICOS'!$F$21</definedName>
    <definedName name="PERC_EMPREG_DEMIT_SEM_JUSTA_CAUSA_TOTAL_DESLIG">'[2]DADOS-ESTATISTICOS'!$F$18</definedName>
    <definedName name="PERC_FGTS">'[1]ENCARGOS-SOCIAIS-E-TRABALHISTAS'!$E$16</definedName>
    <definedName name="PERC_GPS_FGTS">'[1]ENCARGOS-SOCIAIS-E-TRABALHISTAS'!$E$17</definedName>
    <definedName name="PERC_HORA_EXTRA">'[1]INSERÇÃO-DE-DADOS'!$F$55</definedName>
    <definedName name="PERC_ISS">'[1]INSERÇÃO-DE-DADOS'!$F$71</definedName>
    <definedName name="PERC_LUCRO">'[1]INSERÇÃO-DE-DADOS'!$F$68</definedName>
    <definedName name="PERC_MULTA_FGTS">'[2]DADOS-ESTATISTICOS'!$F$20</definedName>
    <definedName name="PERC_NASCIDOS_VIVOS_POPUL_FEM">'[2]DADOS-ESTATISTICOS'!$F$29</definedName>
    <definedName name="PERC_PARTIC_FEM_VIGIL">'[2]DADOS-ESTATISTICOS'!$F$34</definedName>
    <definedName name="PERC_PARTIC_MASC_VIGIL">'[2]DADOS-ESTATISTICOS'!$F$30</definedName>
    <definedName name="PERC_PIS">'[1]INSERÇÃO-DE-DADOS'!$F$69</definedName>
    <definedName name="PERC_SUBSTITUTO_OUTRAS_AUSENCIAS">'[1]INSERÇÃO-DE-DADOS'!$F$51</definedName>
    <definedName name="Print_Area" localSheetId="0">'INSTRUÇOES PARA PREENCHIMENTO'!$A$1:$J$20</definedName>
    <definedName name="RAMO">'[1]INSERÇÃO-DE-DADOS'!$B$1</definedName>
    <definedName name="SAL_MINIMO">'[1]INSERÇÃO-DE-DADOS'!$F$25</definedName>
    <definedName name="SALARIO_BASE">'[1]INSERÇÃO-DE-DADOS'!$F$30</definedName>
    <definedName name="TEMPO_INTERVALO_REFEICAO">'[1]INSERÇÃO-DE-DADOS'!$F$56</definedName>
    <definedName name="TRANSPORTE_POR_DIA">'[1]INSERÇÃO-DE-DADOS'!$F$41</definedName>
    <definedName name="UG">'[1]INSERÇÃO-DE-DADOS'!$B$2</definedName>
  </definedName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6" i="31" l="1"/>
  <c r="F39" i="26"/>
  <c r="F38" i="26"/>
  <c r="F37" i="26"/>
  <c r="E120" i="31" l="1"/>
  <c r="E119" i="31"/>
  <c r="E120" i="26"/>
  <c r="E119" i="26"/>
  <c r="E13" i="32"/>
  <c r="F13" i="32" s="1"/>
  <c r="D56" i="4"/>
  <c r="D48" i="4"/>
  <c r="E15" i="32" s="1"/>
  <c r="F15" i="32" s="1"/>
  <c r="E14" i="32" l="1"/>
  <c r="F14" i="32" s="1"/>
  <c r="E12" i="32"/>
  <c r="F12" i="32" s="1"/>
  <c r="E11" i="32"/>
  <c r="F11" i="32" s="1"/>
  <c r="E3" i="32"/>
  <c r="F3" i="32" s="1"/>
  <c r="E20" i="32"/>
  <c r="F20" i="32" s="1"/>
  <c r="E18" i="32"/>
  <c r="F18" i="32" s="1"/>
  <c r="E17" i="32"/>
  <c r="F17" i="32" s="1"/>
  <c r="E5" i="32"/>
  <c r="F5" i="32" s="1"/>
  <c r="E10" i="32"/>
  <c r="F10" i="32" s="1"/>
  <c r="E19" i="32"/>
  <c r="F19" i="32" s="1"/>
  <c r="E6" i="32"/>
  <c r="F6" i="32" s="1"/>
  <c r="E16" i="32"/>
  <c r="F16" i="32" s="1"/>
  <c r="E4" i="32"/>
  <c r="F4" i="32" s="1"/>
  <c r="E9" i="32"/>
  <c r="F9" i="32" s="1"/>
  <c r="E8" i="32"/>
  <c r="F8" i="32" s="1"/>
  <c r="E7" i="32"/>
  <c r="F7" i="32" s="1"/>
  <c r="E97" i="31" l="1"/>
  <c r="E96" i="31"/>
  <c r="E95" i="31"/>
  <c r="E94" i="31"/>
  <c r="E87" i="31"/>
  <c r="E86" i="31"/>
  <c r="E85" i="31"/>
  <c r="E84" i="31"/>
  <c r="E83" i="31"/>
  <c r="E82" i="31"/>
  <c r="D65" i="31"/>
  <c r="D63" i="31"/>
  <c r="B65" i="31"/>
  <c r="B63" i="31"/>
  <c r="E46" i="31"/>
  <c r="E47" i="31" s="1"/>
  <c r="E97" i="26"/>
  <c r="E96" i="26"/>
  <c r="E95" i="26"/>
  <c r="E94" i="26"/>
  <c r="E87" i="26"/>
  <c r="E86" i="26"/>
  <c r="E85" i="26"/>
  <c r="E84" i="26"/>
  <c r="E83" i="26"/>
  <c r="E82" i="26"/>
  <c r="E65" i="31" l="1"/>
  <c r="F65" i="31" s="1"/>
  <c r="E46" i="26"/>
  <c r="E47" i="26" s="1"/>
  <c r="B63" i="26"/>
  <c r="B65" i="26"/>
  <c r="D63" i="26"/>
  <c r="D65" i="26"/>
  <c r="F19" i="9"/>
  <c r="G18" i="9"/>
  <c r="H18" i="9" s="1"/>
  <c r="I18" i="9" s="1"/>
  <c r="H17" i="9"/>
  <c r="I17" i="9" s="1"/>
  <c r="G17" i="9"/>
  <c r="G16" i="9"/>
  <c r="H16" i="9" s="1"/>
  <c r="I16" i="9" s="1"/>
  <c r="G15" i="9"/>
  <c r="H15" i="9" s="1"/>
  <c r="I15" i="9" s="1"/>
  <c r="G14" i="9"/>
  <c r="E125" i="31"/>
  <c r="E125" i="26"/>
  <c r="E99" i="26"/>
  <c r="E99" i="31"/>
  <c r="E88" i="31"/>
  <c r="E88" i="26"/>
  <c r="E59" i="26"/>
  <c r="E59" i="31"/>
  <c r="G19" i="9" l="1"/>
  <c r="G19" i="32"/>
  <c r="I19" i="32" s="1"/>
  <c r="G4" i="32"/>
  <c r="I4" i="32" s="1"/>
  <c r="G13" i="32"/>
  <c r="I13" i="32" s="1"/>
  <c r="G10" i="32"/>
  <c r="I10" i="32" s="1"/>
  <c r="G7" i="32"/>
  <c r="I7" i="32" s="1"/>
  <c r="G16" i="32"/>
  <c r="I16" i="32" s="1"/>
  <c r="E65" i="26"/>
  <c r="F65" i="26" s="1"/>
  <c r="E48" i="26"/>
  <c r="G17" i="32"/>
  <c r="I17" i="32" s="1"/>
  <c r="G14" i="32"/>
  <c r="I14" i="32" s="1"/>
  <c r="G8" i="32"/>
  <c r="I8" i="32" s="1"/>
  <c r="G3" i="32"/>
  <c r="I3" i="32" s="1"/>
  <c r="G6" i="32"/>
  <c r="I6" i="32" s="1"/>
  <c r="G9" i="32"/>
  <c r="I9" i="32" s="1"/>
  <c r="G12" i="32"/>
  <c r="I12" i="32" s="1"/>
  <c r="G15" i="32"/>
  <c r="I15" i="32" s="1"/>
  <c r="G18" i="32"/>
  <c r="I18" i="32" s="1"/>
  <c r="G5" i="32"/>
  <c r="I5" i="32" s="1"/>
  <c r="G20" i="32"/>
  <c r="I20" i="32" s="1"/>
  <c r="G11" i="32"/>
  <c r="I11" i="32" s="1"/>
  <c r="H14" i="9"/>
  <c r="H19" i="9" l="1"/>
  <c r="I14" i="9"/>
  <c r="I19" i="9" s="1"/>
  <c r="E48" i="31"/>
  <c r="A3" i="3" l="1"/>
  <c r="A2" i="3"/>
  <c r="A11" i="2"/>
  <c r="F5" i="33"/>
  <c r="F6" i="33"/>
  <c r="F7" i="33"/>
  <c r="F8" i="33"/>
  <c r="F9" i="33"/>
  <c r="D12" i="33"/>
  <c r="A3" i="33"/>
  <c r="F4" i="33"/>
  <c r="F3" i="33"/>
  <c r="D22" i="32"/>
  <c r="A10" i="2"/>
  <c r="A9" i="2"/>
  <c r="A8" i="2"/>
  <c r="A7" i="2"/>
  <c r="A6" i="2"/>
  <c r="A5" i="2"/>
  <c r="A4" i="2"/>
  <c r="A3" i="2"/>
  <c r="E22" i="32" l="1"/>
  <c r="F12" i="33"/>
  <c r="F14" i="33" s="1"/>
  <c r="F15" i="33" s="1"/>
  <c r="F114" i="31" l="1"/>
  <c r="F114" i="26"/>
  <c r="I22" i="32"/>
  <c r="G22" i="32"/>
  <c r="F22" i="32"/>
  <c r="F111" i="31"/>
  <c r="F115" i="31" s="1"/>
  <c r="F133" i="31" s="1"/>
  <c r="C28" i="31"/>
  <c r="F34" i="31" s="1"/>
  <c r="A144" i="31"/>
  <c r="D140" i="31"/>
  <c r="C140" i="31"/>
  <c r="A140" i="31"/>
  <c r="A144" i="26"/>
  <c r="F42" i="30" l="1"/>
  <c r="E42" i="30" s="1"/>
  <c r="F41" i="31"/>
  <c r="E63" i="31"/>
  <c r="F63" i="31" s="1"/>
  <c r="F72" i="31" s="1"/>
  <c r="F77" i="31" s="1"/>
  <c r="F47" i="31"/>
  <c r="F46" i="31"/>
  <c r="F129" i="31"/>
  <c r="F48" i="31" l="1"/>
  <c r="F56" i="31" s="1"/>
  <c r="F54" i="31" l="1"/>
  <c r="F85" i="31"/>
  <c r="F82" i="31"/>
  <c r="F84" i="31"/>
  <c r="F86" i="31"/>
  <c r="F83" i="31"/>
  <c r="F87" i="31"/>
  <c r="F58" i="31"/>
  <c r="F52" i="31"/>
  <c r="F51" i="31"/>
  <c r="F57" i="31"/>
  <c r="F55" i="31"/>
  <c r="F53" i="31"/>
  <c r="F75" i="31"/>
  <c r="F88" i="31" l="1"/>
  <c r="F59" i="31"/>
  <c r="F76" i="31" s="1"/>
  <c r="F78" i="31" s="1"/>
  <c r="F98" i="31" l="1"/>
  <c r="F97" i="31"/>
  <c r="F93" i="31"/>
  <c r="F94" i="31"/>
  <c r="F95" i="31"/>
  <c r="F96" i="31"/>
  <c r="F130" i="31"/>
  <c r="F131" i="31"/>
  <c r="F99" i="31" l="1"/>
  <c r="F105" i="31" s="1"/>
  <c r="F107" i="31" l="1"/>
  <c r="F132" i="31" s="1"/>
  <c r="F134" i="31" s="1"/>
  <c r="F119" i="31" l="1"/>
  <c r="F120" i="31" s="1"/>
  <c r="C28" i="26"/>
  <c r="F34" i="26" s="1"/>
  <c r="F36" i="26" l="1"/>
  <c r="F35" i="26"/>
  <c r="F41" i="26"/>
  <c r="F124" i="31"/>
  <c r="F122" i="31"/>
  <c r="F123" i="31"/>
  <c r="E63" i="26"/>
  <c r="F63" i="26" s="1"/>
  <c r="F72" i="26" s="1"/>
  <c r="G4" i="9"/>
  <c r="H4" i="9" s="1"/>
  <c r="I4" i="9" s="1"/>
  <c r="G5" i="9"/>
  <c r="H5" i="9" s="1"/>
  <c r="I5" i="9" s="1"/>
  <c r="G6" i="9"/>
  <c r="H6" i="9" s="1"/>
  <c r="I6" i="9" s="1"/>
  <c r="G7" i="9"/>
  <c r="H7" i="9" s="1"/>
  <c r="I7" i="9" s="1"/>
  <c r="G8" i="9"/>
  <c r="H8" i="9" s="1"/>
  <c r="I8" i="9" s="1"/>
  <c r="F9" i="9"/>
  <c r="D38" i="30"/>
  <c r="D140" i="26"/>
  <c r="C140" i="26"/>
  <c r="A140" i="26"/>
  <c r="F125" i="31" l="1"/>
  <c r="F135" i="31" s="1"/>
  <c r="F136" i="31" s="1"/>
  <c r="B144" i="31" s="1"/>
  <c r="G9" i="9"/>
  <c r="F77" i="26"/>
  <c r="B140" i="31" l="1"/>
  <c r="E140" i="31" s="1"/>
  <c r="F140" i="31" s="1"/>
  <c r="I9" i="9"/>
  <c r="H9" i="9"/>
  <c r="D144" i="31" l="1"/>
  <c r="E144" i="31"/>
  <c r="F144" i="31" s="1"/>
  <c r="C37" i="30"/>
  <c r="F47" i="26"/>
  <c r="F46" i="26"/>
  <c r="F111" i="26"/>
  <c r="F129" i="26"/>
  <c r="F48" i="26" l="1"/>
  <c r="F115" i="26"/>
  <c r="F133" i="26" s="1"/>
  <c r="F75" i="26"/>
  <c r="F84" i="26" l="1"/>
  <c r="F83" i="26"/>
  <c r="F85" i="26"/>
  <c r="F82" i="26"/>
  <c r="F86" i="26"/>
  <c r="F87" i="26"/>
  <c r="F58" i="26"/>
  <c r="F53" i="26"/>
  <c r="F52" i="26"/>
  <c r="F55" i="26"/>
  <c r="F56" i="26"/>
  <c r="F57" i="26"/>
  <c r="F51" i="26"/>
  <c r="F54" i="26"/>
  <c r="F59" i="26" l="1"/>
  <c r="F76" i="26" s="1"/>
  <c r="F78" i="26" s="1"/>
  <c r="E37" i="30"/>
  <c r="F37" i="30" s="1"/>
  <c r="F93" i="26" l="1"/>
  <c r="F94" i="26"/>
  <c r="F98" i="26"/>
  <c r="F96" i="26"/>
  <c r="F95" i="26"/>
  <c r="F97" i="26"/>
  <c r="F88" i="26"/>
  <c r="F131" i="26" s="1"/>
  <c r="F130" i="26"/>
  <c r="F99" i="26" l="1"/>
  <c r="F105" i="26" l="1"/>
  <c r="F107" i="26" s="1"/>
  <c r="F132" i="26" s="1"/>
  <c r="F134" i="26" s="1"/>
  <c r="F119" i="26" l="1"/>
  <c r="F120" i="26" s="1"/>
  <c r="F124" i="26" l="1"/>
  <c r="F122" i="26"/>
  <c r="F123" i="26"/>
  <c r="F125" i="26" l="1"/>
  <c r="F135" i="26" s="1"/>
  <c r="F136" i="26" s="1"/>
  <c r="B144" i="26" s="1"/>
  <c r="B140" i="26" l="1"/>
  <c r="E140" i="26" s="1"/>
  <c r="D144" i="26" s="1"/>
  <c r="F140" i="26" l="1"/>
  <c r="E144" i="26"/>
  <c r="F144" i="26" s="1"/>
  <c r="C36" i="30"/>
  <c r="E36" i="30" l="1"/>
  <c r="F36" i="30" s="1"/>
  <c r="F38" i="30" s="1"/>
  <c r="E38" i="30" l="1"/>
  <c r="A47" i="30" s="1"/>
  <c r="D47" i="3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横山 隆一Lyuity Yokoyama</author>
  </authors>
  <commentList>
    <comment ref="F42" authorId="0" shapeId="0" xr:uid="{AC5E2847-8E3B-424C-B491-FB89F102D171}">
      <text>
        <r>
          <rPr>
            <b/>
            <sz val="9"/>
            <color indexed="81"/>
            <rFont val="Segoe UI"/>
            <family val="2"/>
          </rPr>
          <t>O valor dos materiais foi dividido à razão da metade, em razão da existência de dois postos que atuarão no mesmo local e com atividades similares, qual seja, aquaviária.</t>
        </r>
        <r>
          <rPr>
            <sz val="9"/>
            <color indexed="81"/>
            <rFont val="Segoe UI"/>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横山 隆一Lyuity Yokoyama</author>
  </authors>
  <commentList>
    <comment ref="I9" authorId="0" shapeId="0" xr:uid="{45203114-B50E-475F-B25C-E46CED665482}">
      <text>
        <r>
          <rPr>
            <b/>
            <sz val="9"/>
            <color indexed="81"/>
            <rFont val="Segoe UI"/>
            <family val="2"/>
          </rPr>
          <t>Preço para compor a subplanilha de marinheiro</t>
        </r>
        <r>
          <rPr>
            <sz val="9"/>
            <color indexed="81"/>
            <rFont val="Segoe UI"/>
            <family val="2"/>
          </rPr>
          <t xml:space="preserve">
</t>
        </r>
      </text>
    </comment>
    <comment ref="I19" authorId="0" shapeId="0" xr:uid="{C89AA20E-323B-4631-A463-A8B6B262D935}">
      <text>
        <r>
          <rPr>
            <b/>
            <sz val="9"/>
            <color indexed="81"/>
            <rFont val="Segoe UI"/>
            <family val="2"/>
          </rPr>
          <t>Preço para compor a subplanilha de marinheiro</t>
        </r>
        <r>
          <rPr>
            <sz val="9"/>
            <color indexed="81"/>
            <rFont val="Segoe UI"/>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横山 隆一Lyuity Yokoyama</author>
    <author>Lyuity Yokoyama</author>
    <author>Autor desconhecido</author>
  </authors>
  <commentList>
    <comment ref="C26" authorId="0" shapeId="0" xr:uid="{A3C2A097-36B1-41E3-9186-D44F34A32C6D}">
      <text>
        <r>
          <rPr>
            <b/>
            <sz val="8"/>
            <color indexed="81"/>
            <rFont val="Segoe UI"/>
            <family val="2"/>
          </rPr>
          <t xml:space="preserve">Descrição Sumária
Executam serviços de manutenção elétrica, mecânica, hidráulica, carpintaria e alvena ria, substituindo, trocando, limpando, reparando e instalando peças, componentes eequipamentos. conservam vidros e fachadas, limpam recintos e acessórios e tratam depiscinas. trabalham seguindo normas de segurança, higiene, qualidade e proteção aomeio ambiente. </t>
        </r>
        <r>
          <rPr>
            <sz val="9"/>
            <color indexed="81"/>
            <rFont val="Segoe UI"/>
            <family val="2"/>
          </rPr>
          <t xml:space="preserve">
</t>
        </r>
      </text>
    </comment>
    <comment ref="F34" authorId="1" shapeId="0" xr:uid="{A62F522A-1622-4C9E-936A-198CB1B41E27}">
      <text>
        <r>
          <rPr>
            <b/>
            <sz val="9"/>
            <color theme="1"/>
            <rFont val="Times New Roman"/>
            <family val="1"/>
          </rPr>
          <t>Base de cálculo do salário-base contido na:
- Convenção Coletiva de Trabalho 2023/2025
- Anexo ao Termo de Referência
TABELA GERAL DE REMUNERAÇÃO DE FLUVIÁRIOS
VIGÊNCIA: 01 DE SETEMBRO DE 2023 A 31 DE AGOSTO DE 2024
REAJUSTADA EM 5% (CINCO POR CENTO) SOBRE A REMUNERAÇÃO MENSAL VIGENTE EM 31 DE AGOSTO DE 2023
Tabela obtida no síto eletrônico do Sindicato das Empresas de Navegação Fluvial e Lacustre e das Agências de Navegação no Estado do Pará (Sindarpa).
Anexo ao Termo de Referência.</t>
        </r>
        <r>
          <rPr>
            <sz val="11"/>
            <color theme="1"/>
            <rFont val="Aptos Narrow"/>
            <family val="2"/>
            <scheme val="minor"/>
          </rPr>
          <t xml:space="preserve">
</t>
        </r>
      </text>
    </comment>
    <comment ref="F35" authorId="1" shapeId="0" xr:uid="{553450C3-7750-4CDB-A38F-E76254F22BFF}">
      <text>
        <r>
          <rPr>
            <b/>
            <sz val="9"/>
            <color theme="1"/>
            <rFont val="Times New Roman"/>
            <family val="1"/>
          </rPr>
          <t>Base de cálculo da Gratificação de Função:
TABELA GERAL DE REMUNERAÇÃO DE FLUVIÁRIOS
VIGÊNCIA: 01 DE SETEMBRO DE 2023 A 31 DE AGOSTO DE 2024
REAJUSTADA EM 5% (CINCO POR CENTO) SOBRE A REMUNERAÇÃO MENSAL VIGENTE EM 1º DE SETEMBRO DE 2023
Na tabeka geral de remuneração de fluviários, o cálculo informa que o percentual incidente sobre o salário-base (soldada-base) é de 20%.
Fórmula: Salário-Base x 20%
Por outro lado, na Convenção Coletiva de Trabalho vigente, informa que:
GRATIFICAÇÕES, ADICIONAIS, AUXÍLIOS E OUTROS
GRATIFICAÇÃO DE FUNÇÃO
CLÁUSULA NONA - GRATIFICAÇÃO DE COMANDO
O tripulante (Contramestre Fluvial, Marinheiro Fluvial de Convés ou Marinheiro Auxiliar Fluvial) que acumular afunção de comando a bordo de qualquer embarcação, perceberão, além da soldada-base, uma gratificação decomando estipulada em 25% (vinte e cinco por cento) da soldada-base da categoria superior com repercussãoem todas as demais vantagens trabalhistas: horas extras, adicional noturno, periculosidade/insalubridade, etapa,repouso remunerado, férias, 13º salário e depósitos do FGTS.
Por haver dubiedade nas informações, optou-se por aderir ao que está disposto na tabela geral de remunerações, por trazer de forma explícita e objetiva o percentual incidente sobre a soldada-base na gratificação em epígrafe.</t>
        </r>
      </text>
    </comment>
    <comment ref="F36" authorId="1" shapeId="0" xr:uid="{CDBFFEBC-BCD2-413A-8320-3FEAA9A3005D}">
      <text>
        <r>
          <rPr>
            <b/>
            <sz val="9"/>
            <color theme="1"/>
            <rFont val="Times New Roman"/>
            <family val="1"/>
          </rPr>
          <t xml:space="preserve">Base de cálculo do Adicional de Insalubridade:
Referencial Técnico de Custos – AUDIN/MPU – 4ª Edição
MÓDULO 1 – COMPOSIÇÃO DA REMUNERAÇÃO
Alínea 1.C. - Adicional de insalubridade
O adicional de insalubridade é devido ao empregado que, para o desempenho do seu trabalho, tem de realizar atividade insalubre, ou seja, que implique em exposição a agentes nocivos à saúde, acima dos limites de tolerância considerados adequados.
A classificação da atividade como insalubre dá-se mediante edição, pelo Ministério do Trabalho, de quadro de atividades insalubres e os limites de tolerância e tempo máximo de exposição aos agentes nocivos. A norma vigente que disciplina a matéria é a Norma Regulamentadora nº 15, anexa à Portaria 3.214/1978.
Fórmula: Salário-Base x (percentual conforme a exposição ao risco) %
Metodologia de Cálculo:
Para calcular o valor do adicional de insalubridade deve-se multiplicar o valor do salário mínimo vigente pelos seguintes percentuais: máximo – 40%; médio – 20%; mínimo – 10%, conforme for a exposição ao risco.
CONVENÇÃO COLETIVA DE TRABALHO 2023/2025
CLÁUSULA DÉCIMA QUARTA - PERICULOSIDADE E/OU INSALUBRIDADE
Os adicionais de periculosidade e/ou insalubridade serão pagos à razão de 30% da soldada-base e etapa, comrepercussão nas demais verbas trabalhistas, horas extras, adicional noturno, repouso remunerado, férias, 13ºsalário e depósito do FGTS.
NÚMERO DE REGISTRO NO MTE: PA001062/2023
DATA DE REGISTRO NO MTE: 18/12/2023
NÚMERO DA SOLICITAÇÃO: MR066510/2023
NÚMERO DO PROCESSO: 13620.201354/2023-19
DATA DO PROTOCOLO: 18/12/2023
O adicional de insalubridade é devido ao empregado que, para o desempenho do seu trabalho, tem de realizar atividade insalubre, ou seja, que implique em exposição a agentes nocivos à saúde, acima dos limites de tolerância considerados adequados.
</t>
        </r>
        <r>
          <rPr>
            <sz val="11"/>
            <color theme="1"/>
            <rFont val="Aptos Narrow"/>
            <family val="2"/>
            <scheme val="minor"/>
          </rPr>
          <t xml:space="preserve">
</t>
        </r>
      </text>
    </comment>
    <comment ref="F37" authorId="1" shapeId="0" xr:uid="{A0CFEB56-1CCF-4815-95C4-A8F07D3C0A99}">
      <text>
        <r>
          <rPr>
            <b/>
            <sz val="9"/>
            <color theme="1"/>
            <rFont val="Times New Roman"/>
            <family val="1"/>
          </rPr>
          <t>Base de cálculo do Adicional de Horas Extras:
CONVENÇÃO COLETIVA DE TRABALHO 2023/2025
CLÁUSULA DÉCIMA PRIMEIRA - ADICIONAL DE HORAS-EXTRAS
NÚMERO DE REGISTRO NO MTE: PA001062/2023
DATA DE REGISTRO NO MTE: 18/12/2023
NÚMERO DA SOLICITAÇÃO: MR066510/2023
NÚMERO DO PROCESSO: 13620.201354/2023-19
DATA DO PROTOCOLO: 18/12/2023
O valor das horas extras informado na tabela geral de remuneração de fluviários foi de R$ R$ 1.844,29, ENQUANTO o cálculo realizado pela Comissão, segundo a fórmula a seguir, trouxe outro resultado:
=ARRED((((F34+F35+F36+F65)/188,57)*120) + ((((F34+F35+F36+F65)/188,57)*120)*0,5);2) = 1.909,57
Considerando prudente extrair os dados da tabela geral, optou-se por desconsiderar o cálculo realizado pela Comissão e adotar o valor expresso na tabela.</t>
        </r>
        <r>
          <rPr>
            <sz val="11"/>
            <color theme="1"/>
            <rFont val="Aptos Narrow"/>
            <family val="2"/>
            <scheme val="minor"/>
          </rPr>
          <t xml:space="preserve">
</t>
        </r>
      </text>
    </comment>
    <comment ref="F38" authorId="1" shapeId="0" xr:uid="{FC2294B0-7D2F-4EEA-832C-5C82EB088227}">
      <text>
        <r>
          <rPr>
            <b/>
            <sz val="9"/>
            <color theme="1"/>
            <rFont val="Times New Roman"/>
            <family val="1"/>
          </rPr>
          <t>Base de cálculo do Adicional Noturno:
CONVENÇÃO COLETIVA DE TRABALHO 2023/2025
CLÁUSULA DÉCIMA TERCEIRA - ADICIONAL NOTURNO
NÚMERO DE REGISTRO NO MTE: PA001062/2023
DATA DE REGISTRO NO MTE: 18/12/2023
NÚMERO DA SOLICITAÇÃO: MR066510/2023
NÚMERO DO PROCESSO: 13620.201354/2023-19
DATA DO PROTOCOLO: 18/12/2023</t>
        </r>
        <r>
          <rPr>
            <sz val="11"/>
            <color theme="1"/>
            <rFont val="Aptos Narrow"/>
            <family val="2"/>
            <scheme val="minor"/>
          </rPr>
          <t xml:space="preserve">
</t>
        </r>
        <r>
          <rPr>
            <b/>
            <sz val="9"/>
            <color theme="1"/>
            <rFont val="Segoe UI"/>
            <family val="2"/>
          </rPr>
          <t>O valor do adicional noturno informado na tabela geral de remuneração de fluviários foi de R$ R$ 491,81, ENQUANTO o cálculo realizado pela Comissão, segundo a fórmula a seguir, trouxe outro resultado:
=TRUNCAR((((((F34+F35+F36+F65)/188,57)*0,2)*30)*8);2) = 509,22
Considerando prudente extrair os dados da tabela geral, optou-se por desconsiderar o cálculo realizado pela Comissão e adotar o valor expresso na tabela.</t>
        </r>
      </text>
    </comment>
    <comment ref="F39" authorId="1" shapeId="0" xr:uid="{8DFBF91C-3332-47E1-AA6B-D78F99D15F12}">
      <text>
        <r>
          <rPr>
            <b/>
            <sz val="9"/>
            <color theme="1"/>
            <rFont val="Segoe UI"/>
            <family val="2"/>
          </rPr>
          <t>Base de cálculo do Repouso Remunerado:
CONVENÇÃO COLETIVA DE TRABALHO 2023/2025
CLÁUSULA DÉCIMA QUINTA - REPOUSO REMUNERADO
NÚMERO DE REGISTRO NO MTE: PA001062/2023
DATA DE REGISTRO NO MTE: 18/12/2023
NÚMERO DA SOLICITAÇÃO: MR066510/2023
NÚMERO DO PROCESSO: 13620.201354/2023-19
DATA DO PROTOCOLO: 18/12/2023
O valor do repouso remunerado informado na tabela geral de remuneração de fluviários foi de R$ R$ 711,36, ENQUANTO o cálculo realizado pela Comissão, segundo a fórmula a seguir, trouxe outro resultado:
=TRUNCAR((((F34+F35+F36+F37+F38+F65)*5)/30);2) = 722,76
Considerando prudente extrair os dados da tabela geral, optou-se por desconsiderar o cálculo realizado pela Comissão e adotar o valor expresso na tabela.</t>
        </r>
        <r>
          <rPr>
            <sz val="11"/>
            <color theme="1"/>
            <rFont val="Aptos Narrow"/>
            <family val="2"/>
            <scheme val="minor"/>
          </rPr>
          <t xml:space="preserve">
</t>
        </r>
      </text>
    </comment>
    <comment ref="F40" authorId="0" shapeId="0" xr:uid="{2B15972C-0736-4340-856F-AA43370FF6F4}">
      <text>
        <r>
          <rPr>
            <b/>
            <sz val="9"/>
            <color indexed="81"/>
            <rFont val="Segoe UI"/>
            <family val="2"/>
          </rPr>
          <t>O valor de R$ 218,14 não integra a remuneração-base, uma vez que serviu apenas como base de cálculo para contabilizar outros subitens da remuneração. Ainda, a soldada-base não será usada como pagamento do vale-alimentação. O vale-alimentação usado será o do sindicato SEAC/SINELPA do estado do Pará que prevê o valor de R$ 26,53, por dia trabalhado.</t>
        </r>
        <r>
          <rPr>
            <sz val="9"/>
            <color indexed="81"/>
            <rFont val="Segoe UI"/>
            <family val="2"/>
          </rPr>
          <t xml:space="preserve">
</t>
        </r>
      </text>
    </comment>
    <comment ref="F46" authorId="2" shapeId="0" xr:uid="{93CC1BBC-CF69-4FB5-9000-5F412EBB6686}">
      <text>
        <r>
          <rPr>
            <b/>
            <sz val="9"/>
            <color indexed="81"/>
            <rFont val="Times New Roman"/>
            <family val="1"/>
          </rPr>
          <t xml:space="preserve">Base de Cálculo do 13º Salário:
Referencial Técnico de Custos – Audin-MPU – 4ª Edição:
- MÓDULO 2 – ENCARGOS E BENEFÍCIOS ANUAIS, MENSAIS E DIÁRIOS
- Submódulo 2.1 – 13º (Décimo Terceiro) Salário e Adicional de Férias
- Alínea 2.1.A – 13º (Décimo Terceiro) Salário
- (1/12) x 100 = 8,33%
</t>
        </r>
      </text>
    </comment>
    <comment ref="F47" authorId="2" shapeId="0" xr:uid="{79306D12-5436-4345-AE25-398DCBE52FAA}">
      <text>
        <r>
          <rPr>
            <b/>
            <sz val="9"/>
            <color indexed="81"/>
            <rFont val="Times New Roman"/>
            <family val="1"/>
          </rPr>
          <t xml:space="preserve">Base de Cálculo do Adicional de Férias:
Referencial Técnico de Custos – Audin-MPU – 4ª Edição:
- MÓDULO 2 – ENCARGOS E BENEFÍCIOS ANUAIS, MENSAIS E DIÁRIOS
- Submódulo 2.1 – 13º (Décimo Terceiro) Salário e Adicional de Férias
- Alínea 2.1.B – Adicional de Férias
- [(1/3)/12] x 100 = 2,78%
</t>
        </r>
      </text>
    </comment>
    <comment ref="F51" authorId="2" shapeId="0" xr:uid="{B0F03F90-2EDC-4C34-AA61-7F07FB8069AC}">
      <text>
        <r>
          <rPr>
            <b/>
            <sz val="9"/>
            <color indexed="81"/>
            <rFont val="Times New Roman"/>
            <family val="1"/>
          </rPr>
          <t>Base de Cálculo do INSS:
- Referencial Técnico de Custos – Audin-MPU – 4ª Edição:
- MÓDULO 2 – ENCARGOS E BENEFÍCIOS ANUAIS, MENSAIS E DIÁRIOS;
- Submódulo 2.2 – Encargos Previdenciários (GPS), Fundo de Garantia por Tempo de Serviço (FGTS) e outras contribuições;
- Alínea 2.2.A - INSS
- Base de Cálculo: Módulo 1 + Submódulo 2.1
- Percentual: 20,00%</t>
        </r>
        <r>
          <rPr>
            <b/>
            <sz val="9"/>
            <color indexed="81"/>
            <rFont val="Arial"/>
            <family val="2"/>
          </rPr>
          <t xml:space="preserve">
</t>
        </r>
      </text>
    </comment>
    <comment ref="F52" authorId="2" shapeId="0" xr:uid="{6CB14B99-B623-4617-8AF6-4C8F9234E8B5}">
      <text>
        <r>
          <rPr>
            <b/>
            <sz val="9"/>
            <color indexed="81"/>
            <rFont val="Times New Roman"/>
            <family val="1"/>
          </rPr>
          <t xml:space="preserve">Base de Cálculo do Salário Educação:
- Referencial Técnico de Custos – Audin-MPU – 4ª Edição:
- MÓDULO 2 – ENCARGOS E BENEFÍCIOS ANUAIS, MENSAIS E DIÁRIOS;
- Submódulo 2.2 – Encargos Previdenciários (GPS), Fundo de Garantia por
Tempo de Serviço (FGTS) e outras contribuições;
- Alínea 2.2.B - Salário Educação
- Base de Cálculo: Módulo 1 + Submódulo 2.1
- Percentual: 2,50%
</t>
        </r>
      </text>
    </comment>
    <comment ref="F53" authorId="2" shapeId="0" xr:uid="{9BE5F8D0-D57C-4D10-9E9A-A31E6829E2B2}">
      <text>
        <r>
          <rPr>
            <b/>
            <sz val="9"/>
            <color indexed="81"/>
            <rFont val="Times New Roman"/>
            <family val="1"/>
          </rPr>
          <t xml:space="preserve">Base de Cálculo do Risco Ambiental do Trabalho – RAT:
- Referencial Técnico de Custos – Audin-MPU – 4ª Edição:
- MÓDULO 2 – ENCARGOS E BENEFÍCIOS ANUAIS, MENSAIS E DIÁRIOS;
- Submódulo 2.2 – Encargos Previdenciários (GPS), Fundo de Garantia por Tempo de Serviço (FGTS) e outras contribuições;
- Alínea 2.2.C - Riscos Ambientais do Trabalho
- Base de Cálculo: Módulo 1 + Submódulo 2.1
- Percentual: de 1 a 3%
</t>
        </r>
      </text>
    </comment>
    <comment ref="F54" authorId="2" shapeId="0" xr:uid="{276D36CF-DFA3-41E7-B670-22F49464646A}">
      <text>
        <r>
          <rPr>
            <b/>
            <sz val="9"/>
            <color indexed="81"/>
            <rFont val="Times New Roman"/>
            <family val="1"/>
          </rPr>
          <t xml:space="preserve">Base de Cálculo do SESC:
- Referencial Técnico de Custos – Audin-MPU – 4ª Edição:
- MÓDULO 2 – ENCARGOS E BENEFÍCIOS ANUAIS, MENSAIS E DIÁRIOS;
- Submódulo 2.2 – Encargos Previdenciários (GPS), Fundo de Garantia por Tempo de Serviço (FGTS) e outras contribuições;
- Alínea 2.2.D - SESC
- Base de Cálculo: Módulo 1 + Submódulo 2.1
- Percentual: 1,50%
</t>
        </r>
      </text>
    </comment>
    <comment ref="F55" authorId="2" shapeId="0" xr:uid="{A9828F04-5D83-40AF-87AD-84F7BE47ABBB}">
      <text>
        <r>
          <rPr>
            <b/>
            <sz val="9"/>
            <rFont val="Times New Roman"/>
            <family val="1"/>
            <charset val="1"/>
          </rPr>
          <t xml:space="preserve">Base de Cálculo do SENAC:
- Referencial Técnico de Custos – Audin-MPU – 4ª Edição:
- MÓDULO 2 – ENCARGOS E BENEFÍCIOS ANUAIS, MENSAIS E DIÁRIOS;
- Submódulo 2.2 – Encargos Previdenciários (GPS), Fundo de Garantia por Tempo de Serviço (FGTS) e outras contribuições;
- Alínea 2.2.E - SENAC
- Base de Cálculo: Módulo 1 + Submódulo 2.1
- Percentual: 1,00%
</t>
        </r>
      </text>
    </comment>
    <comment ref="E56" authorId="0" shapeId="0" xr:uid="{8331F34D-39BB-4CDE-AD81-84F8FC014D19}">
      <text>
        <r>
          <rPr>
            <b/>
            <sz val="9"/>
            <color indexed="81"/>
            <rFont val="Segoe UI"/>
            <family val="2"/>
          </rPr>
          <t>OBSERVAÇÃO:
Importante mencionar que a alíquota de 0,60% corresponde à soma das
alíquotas de 0,3% para o SESC e 0,3% para o SENAC, entidades do Sistema S
abrangidas pelas empresas que prestam serviços aos órgãos públicos.
Em relação às empresas contratadas que são enquadradas mediante o
FPAS 566, a própria empresa contratada deve comprovar qual o percentual que deverá ser utilizado, ou seja, há a previsão de 0,3% ou de 0,6%, a depender do FPAS da contratada.</t>
        </r>
        <r>
          <rPr>
            <sz val="9"/>
            <color indexed="81"/>
            <rFont val="Segoe UI"/>
            <family val="2"/>
          </rPr>
          <t xml:space="preserve">
</t>
        </r>
      </text>
    </comment>
    <comment ref="F56" authorId="2" shapeId="0" xr:uid="{DA675126-EE6E-4F31-9431-82A04BE08405}">
      <text>
        <r>
          <rPr>
            <b/>
            <sz val="9"/>
            <color indexed="81"/>
            <rFont val="Times New Roman"/>
            <family val="1"/>
          </rPr>
          <t>Base de Cálculo do SEBRAE:
- Referencial Técnico de Custos – Audin-MPU – 4ª Edição:
- MÓDULO 2 – ENCARGOS E BENEFÍCIOS ANUAIS, MENSAIS E DIÁRIOS;
- Submódulo 2.2 – Encargos Previdenciários (GPS), Fundo de Garantia por Tempo de Serviço (FGTS) e outras contribuições;
- Alínea 2.2.F - SEBRAE
- Base de Cálculo: Módulo 1 + Submódulo 2.1
- Percentual: 0,60%</t>
        </r>
        <r>
          <rPr>
            <sz val="10"/>
            <rFont val="Arial"/>
            <family val="2"/>
          </rPr>
          <t xml:space="preserve">
</t>
        </r>
      </text>
    </comment>
    <comment ref="F57" authorId="2" shapeId="0" xr:uid="{12F28B17-B87C-42CF-9C09-E143AE77FB9C}">
      <text>
        <r>
          <rPr>
            <b/>
            <sz val="9"/>
            <color indexed="81"/>
            <rFont val="Times New Roman"/>
            <family val="1"/>
          </rPr>
          <t>Base de Cálculo do INCRA:
- Referencial Técnico de Custos – Audin-MPU – 4ª Edição:
- MÓDULO 2 – ENCARGOS E BENEFÍCIOS ANUAIS, MENSAIS E DIÁRIOS;
- Submódulo 2.2 – Encargos Previdenciários (GPS), Fundo de Garantia por Tempo de Serviço (FGTS) e outras contribuições;
- Alínea 2.2.G - INCRA
- Base de Cálculo: Módulo 1 + Submódulo 2.1
- Percentual: 0,20%</t>
        </r>
        <r>
          <rPr>
            <sz val="10"/>
            <rFont val="Arial"/>
            <family val="2"/>
          </rPr>
          <t xml:space="preserve">
</t>
        </r>
      </text>
    </comment>
    <comment ref="F58" authorId="2" shapeId="0" xr:uid="{A71FB85D-49BB-40FC-AE70-3CD2CCBA5934}">
      <text>
        <r>
          <rPr>
            <b/>
            <sz val="9"/>
            <color indexed="81"/>
            <rFont val="Times New Roman"/>
            <family val="1"/>
          </rPr>
          <t>Base de Cálculo do FGTS:
- Referencial Técnico de Custos – Audin-MPU – 4ª Edição:
- MÓDULO 2 – ENCARGOS E BENEFÍCIOS ANUAIS, MENSAIS E DIÁRIOS;
- Submódulo 2.2 – Encargos Previdenciários (GPS), Fundo de Garantia por Tempo de Serviço (FGTS) e outras contribuições;
- Alínea 2.2.H - FGTS
- Base de Cálculo: Módulo 1 + Submódulo 2.1
- Percentual: 8,00%</t>
        </r>
        <r>
          <rPr>
            <sz val="10"/>
            <rFont val="Arial"/>
            <family val="2"/>
          </rPr>
          <t xml:space="preserve">
</t>
        </r>
      </text>
    </comment>
    <comment ref="F63" authorId="0" shapeId="0" xr:uid="{F25B0283-3185-46C0-A561-007EFA34EF95}">
      <text>
        <r>
          <rPr>
            <b/>
            <sz val="9"/>
            <color indexed="81"/>
            <rFont val="Segoe UI"/>
            <family val="2"/>
          </rPr>
          <t>Memória de Cálculo do Vale-Transporte:
- Referencial Técnico de Custos – Audin-MPU – 4ª Edição:
- MÓDULO 2 – ENCARGOS E BENEFÍCIOS ANUAIS, MENSAIS E DIÁRIOS;
- Submódulo 2.3 – Benefícios Mensais e Diários
- Alínea 2.3.A. - Vale-Transporte
- Instrução Normativa SEGES/MPDG nº 5/2017
- Decreto Nº 103788 DE 25/03/2022
- Valor da tarifa da passagem x 2 x 2 – (6% x Salário-Base)</t>
        </r>
      </text>
    </comment>
    <comment ref="F65" authorId="0" shapeId="0" xr:uid="{CD96A1E4-E2BB-4B4E-8F69-AA204DCB138D}">
      <text>
        <r>
          <rPr>
            <b/>
            <sz val="9"/>
            <color indexed="81"/>
            <rFont val="Segoe UI"/>
            <family val="2"/>
          </rPr>
          <t>Memória de Cálculo do Vale-Alimentação:
- Referencial Técnico de Custos – Audin-MPU – 4ª Edição:
- MÓDULO 2 – ENCARGOS E BENEFÍCIOS ANUAIS, MENSAIS E DIÁRIOS;
- Submódulo 2.3 – Benefícios Mensais e Diários
- Alínea 2.3.B. - Vale-Alimentação
- Instrução Normativa SEGES/MPDG nº 5/2017
- Valor diário do auxílio-alimentação x 12
- ((26,53 – (26,53 x 10%)) x 12). Valor diário da alimentação – 10% x 12 dias. 
- Referencial AUDIN, 4ª edição c/c CONVENÇÃO COLETIVA 2024/2025 SEAC/SINELPA - AUXÍLIO ALIMENTAÇÃO - CLÁUSULA DÉCIMA QUINTA - TICKET ALIMENTAÇÃO/ CARTÃO REFEIÇÃO</t>
        </r>
        <r>
          <rPr>
            <sz val="9"/>
            <color indexed="81"/>
            <rFont val="Segoe UI"/>
            <family val="2"/>
          </rPr>
          <t xml:space="preserve">
</t>
        </r>
      </text>
    </comment>
    <comment ref="F67" authorId="0" shapeId="0" xr:uid="{24F1F847-5B7C-428C-8263-B11DC270E78C}">
      <text>
        <r>
          <rPr>
            <b/>
            <sz val="9"/>
            <color indexed="81"/>
            <rFont val="Segoe UI"/>
            <family val="2"/>
          </rPr>
          <t xml:space="preserve">Do Seguro de vida em Grupo, Auxílio Morte/Funeral e Assistência Médica e Familiar (Auxílio Doença/Invalidez)
À critério da licitante, os valores referentes aos seguintes auxílios poderão ser adicionados na célula F67.
- Referencial Técnico de Custos – Audin-MPU – 3ª Edição:
- MÓDULO 2 – ENCARGOS E BENEFÍCIOS ANUAIS, MENSAIS E DIÁRIOS;
- Submódulo 2.3 – Benefícios Mensais e Diários
- Alínea 2.3.C.
- Instrução Normativa SEGES/MPDG nº 5/2017
CONVENÇÃO COLETIVA DE TRABALHO 2023/2025
NÚMERO DE REGISTRO NO MTE: PA001062/2023
CLÁUSULA DÉCIMA NONA - OUTROS AUXÍLIOS:
- AUXÍLIO DOENÇA/INVALIDEZ
Em caso de hospitalização do tripulante fora do seu domicílio, o armador ou empresa arcarão com os custosmédicos hospitalares, bem como o pagamento dos salários e vantagens dos dias de doença até a transferência elegalização junto ao INSS. Em caso de doença ou acidente diagnosticado como grave ou gravíssimo, se não forpossível a sua transferência para o seu domicilio, o armador ou empresa fornecerá estadia, limitada ao valor deduas (02) soldadas base, pelo período que for internado e passagens pelo meio mais rápido a um (01)membro da família do tripulante, a fim de lhe fazer companhia até o dia da liberação médica.
CLÁUSULA VIGÉSIMA SÉTIMA - SEGURO EM GRUPO:
As empresas de navegação fluvial e lacustre devem manter as suas expensas, seguro em grupo para os seusempregados fluviários, cobrindo os riscos por morte acidental, natural ou invalidez permanente, decorrente deacidente ou não, sendo que a indenização estipulada no contrato celebrado não poderá ser inferior a quarenta ecinco (45) soldadas-base percebidas pelos tripulantes acima mencionados, vigente no mês do pagamento pelaseguradora, quando de sua morte ou acidente que venha a deixar os mesmos inválidos. Não efetuando oempregador o seguro de que trata esta cláusula ficará obrigado a indenizar os dependentes do tripulante, no casode morte ou invalidez, no valor acima estipulado e devidamente atualizado na forma da lei.
PARÁGRAFO ÚNICO
O empregador terá a opção de não contratar o seguro, neste caso, ficará obrigado a indenizar o tripulante oudependentes, conforme previsto no caput desta cláusula, como se segurado estivesse, não sendo caracterizado odescumprimento convencional, desde que quitado até 30 dias após o prazo do evento MORTE ou INVALIDEZ declarado pelo órgão oficial.
CLÁUSULA VIGÉSIMA - TRASLADO DO CORPO DO TRIPULANTE:
O empregador ficará obrigado a transladar o corpo do tripulante falecido em viagem, para a cidade onde residir suafamília à época do falecimento.
</t>
        </r>
        <r>
          <rPr>
            <sz val="9"/>
            <color indexed="81"/>
            <rFont val="Segoe UI"/>
            <family val="2"/>
          </rPr>
          <t xml:space="preserve">
</t>
        </r>
      </text>
    </comment>
    <comment ref="F69" authorId="0" shapeId="0" xr:uid="{16F76F50-5147-44EE-80FB-7D211963ADA3}">
      <text>
        <r>
          <rPr>
            <b/>
            <sz val="9"/>
            <color indexed="81"/>
            <rFont val="Segoe UI"/>
            <family val="2"/>
          </rPr>
          <t>- MÓDULO 2 – ENCARGOS E BENEFÍCIOS ANUAIS, MENSAIS E DIÁRIOS;
- Submódulo 2.3 – Benefícios Mensais e Diários
- Alínea 2.3.D.
- Instrução Normativa SEGES/MPDG nº 5/2017
CONVENÇÃO COLETIVA DE TRABALHO 2023/2025
NÚMERO DE REGISTRO NO MTE: PA001062/2023</t>
        </r>
        <r>
          <rPr>
            <sz val="9"/>
            <color indexed="81"/>
            <rFont val="Segoe UI"/>
            <family val="2"/>
          </rPr>
          <t xml:space="preserve">
</t>
        </r>
      </text>
    </comment>
    <comment ref="F71" authorId="0" shapeId="0" xr:uid="{E2F20900-2ECB-49AA-BB46-F4E0C534478D}">
      <text>
        <r>
          <rPr>
            <b/>
            <sz val="9"/>
            <color indexed="81"/>
            <rFont val="Segoe UI"/>
            <family val="2"/>
          </rPr>
          <t>Dos demais auxílios (Outros):
À critério da licitante, os valores referentes aos seguintes auxílios poderão ser adicionados na célula F70.
Os auxílios são aqueles compostos na CONVENÇÃO COLETIVA DE TRABALHO 2023/2025 registrada no Ministério do Trabalho e Emprego sob o número: PA001062/2023
CLÁUSULA VIGÉSIMA PRIMEIRA - AUXÍLIO REGRESSO:
- OUTROS AUXÍLIOS
Os tripulantes, quando contratados por viagem, terão direito, além da soldada correspondente, passagem deregresso ao seu domicílio de origem, hospedagem e ajuda de custo de 70% (setenta por cento) sobre aremuneração percebida, salvo se dispensados por justa causa, ou manifestarem expressamente vontade depermanecer no porto e/ou localidade onde se encontrarem.
CLÁUSULA VIGÉSIMA SEGUNDA:
- AUXÍLIO POR SINISTRO A BORDO
Na hipótese de sinistro a bordo devidamente comprovado através de inquérito pela autoridade naval que resulte na perda total de objetos de uso pessoal e uniforme do tripulante, ser-lhe-á assegurada uma indenização por tal perda,correspondente a 08 (oito) soldadas-base, ficando-lhe assegurada ainda, a indenização de qualquer outro objeto, desde que declarado antes da viagem, junto ao escritório do Armador, salvo quando o tripulante for culpado pelosinistro.</t>
        </r>
        <r>
          <rPr>
            <sz val="9"/>
            <color indexed="81"/>
            <rFont val="Segoe UI"/>
            <family val="2"/>
          </rPr>
          <t xml:space="preserve">
</t>
        </r>
      </text>
    </comment>
    <comment ref="F82" authorId="2" shapeId="0" xr:uid="{1A015863-8F20-493D-8081-ADCC3EE78243}">
      <text>
        <r>
          <rPr>
            <b/>
            <sz val="9"/>
            <color indexed="81"/>
            <rFont val="Times New Roman"/>
            <family val="1"/>
          </rPr>
          <t xml:space="preserve">Base de Cálculo do Aviso Prévio Indenizado:
- Referencial Técnico de Custos – Audin-MPU – 4ª Edição:
- MÓDULO 3 - PROVISÃO PARA RESCISÃO:
- Alínea 3.A. - Aviso Prévio Indenizado
- Base de Cálculo: Módulo 1 + Submódulo 2.1 
- Percentual: 0,26% 
Decorrido um ano de vigência do contrato, caso haja prorrogação, o percentual informado na célula E82 deverá ser reduzido para 10% do valor original da proposta. Referencial Técnico de Custos – Audin-MPU – 3ª Edição - página 48.
PORTARIA/MTP Nº 671, DE 8 DE NOVEMBRO DE 2021
https://www.in.gov.br/en/web/dou/-/portaria-359094139
Art. 37. As verbas rescisórias e o aviso prévio serão calculados com base na média dos valores recebidos pelo empregado no curso do contrato de trabalho intermitente.
Art. 38. No contrato de trabalho intermitente, o empregador efetuará o recolhimento das contribuições previdenciárias próprias e do empregado e o depósito do FGTS com base nos valores pagos no período mensal e fornecerá ao empregado comprovante do cumprimento dessas obrigações.
</t>
        </r>
      </text>
    </comment>
    <comment ref="F83" authorId="0" shapeId="0" xr:uid="{5E61EB2A-7F60-4CD3-87CB-4CE457D27CD3}">
      <text>
        <r>
          <rPr>
            <b/>
            <sz val="9"/>
            <color indexed="81"/>
            <rFont val="Segoe UI"/>
            <family val="2"/>
          </rPr>
          <t>Base de Cálculo da Incidência do FGTS sobre o Aviso Prévio Indenizado:
- Referencial Técnico de Custos – Audin-MPU – 4ª Edição:
- MÓDULO 3 - PROVISÃO PARA RESCISÃO:
- Alínea 3.B. - Incidência do FGTS sobre o Aviso Prévio Indenizado
- Base de Cálculo: Módulo 1 + Submódulo 2.1
- Percentual: 0,02% 
- Fonte: Referencial Técnico de Custos – Audin-MPU – 4ª Edição.</t>
        </r>
      </text>
    </comment>
    <comment ref="F84" authorId="0" shapeId="0" xr:uid="{34A9F04D-D67E-448D-B31A-745085F70A4D}">
      <text>
        <r>
          <rPr>
            <b/>
            <sz val="9"/>
            <color indexed="81"/>
            <rFont val="Segoe UI"/>
            <family val="2"/>
          </rPr>
          <t>Base de Cálculo da Multa do FGTS do Aviso Prévio Indenizado:
- Referencial Técnico de Custos – Audin-MPU – 4ª Edição:
- MÓDULO 3 - PROVISÃO PARA RESCISÃO:
- Alínea 3.C. - Multa do FGTS do Aviso Prévio Indenizado
- Base de Cálculo: Módulo 1 + Submódulo 2.1
- Percentual: 0,10% 
- Fonte: Referencial Técnico de Custos – Audin-MPU – 4ª Edição.</t>
        </r>
        <r>
          <rPr>
            <sz val="9"/>
            <color indexed="81"/>
            <rFont val="Segoe UI"/>
            <family val="2"/>
          </rPr>
          <t xml:space="preserve">
</t>
        </r>
      </text>
    </comment>
    <comment ref="E85" authorId="0" shapeId="0" xr:uid="{1D3812F8-D45B-430E-AFC7-FF830A704532}">
      <text>
        <r>
          <rPr>
            <b/>
            <sz val="9"/>
            <color indexed="81"/>
            <rFont val="Segoe UI"/>
            <family val="2"/>
          </rPr>
          <t>[(56,24%) x 94,45% x (7/30) /12] x 100 = 1,03%</t>
        </r>
        <r>
          <rPr>
            <sz val="9"/>
            <color indexed="81"/>
            <rFont val="Segoe UI"/>
            <family val="2"/>
          </rPr>
          <t xml:space="preserve">
</t>
        </r>
      </text>
    </comment>
    <comment ref="F85" authorId="2" shapeId="0" xr:uid="{859636F3-B3E3-4CE2-BD6B-3984D0D5D255}">
      <text>
        <r>
          <rPr>
            <b/>
            <sz val="10"/>
            <color indexed="81"/>
            <rFont val="Times New Roman"/>
            <family val="1"/>
          </rPr>
          <t xml:space="preserve">Base de Cálculo do Aviso Prévio Trabalhado:
- Referencial Técnico de Custos – Audin-MPU – 4ª Edição:
- MÓDULO 3 - PROVISÃO PARA RESCISÃO:
- Alínea 3.D. - Aviso Prévio Trabalhado
- Base de Cálculo: Módulo 1 + Submódulo 2.1 
- Percentual: 1,03%
- Decorrido um ano de vigência do contrato, caso haja prorrogação, o percentual informado na célula E83 deverá ser reduzido para 10% do valor original da proposta. Referencial Técnico de Custos – Audin-MPU – 4ª Edição.
</t>
        </r>
      </text>
    </comment>
    <comment ref="F86" authorId="0" shapeId="0" xr:uid="{A85AA2CB-01A5-43F4-9E7F-D493B3C9F0F0}">
      <text>
        <r>
          <rPr>
            <b/>
            <sz val="9"/>
            <color indexed="81"/>
            <rFont val="Segoe UI"/>
            <family val="2"/>
          </rPr>
          <t>Base de Cálculo da Incidência dos Encargos do Submódulo 2.2 sobre o Aviso Prévio Trabalhado:
- Referencial Técnico de Custos – Audin-MPU – 4ª Edição:
- MÓDULO 3 - PROVISÃO PARA RESCISÃO:
- Alínea 3.E. - Incidência dos Encargos do Submódulo 2.2 sobre o Aviso Prévio Trabalhado
- Base de Cálculo: Módulo 1 + Submódulo 2.1
- Percentual: 0,38%
- Decorrido um ano de vigência do contrato, caso haja prorrogação, o percentual informado na célula E83 deverá ser reduzido para 10% do valor original da proposta. Referencial Técnico de Custos – Audin-MPU – 4ª Edição.</t>
        </r>
        <r>
          <rPr>
            <sz val="9"/>
            <color indexed="81"/>
            <rFont val="Segoe UI"/>
            <family val="2"/>
          </rPr>
          <t xml:space="preserve">
</t>
        </r>
      </text>
    </comment>
    <comment ref="F87" authorId="2" shapeId="0" xr:uid="{57AE1443-E6DC-4C42-BA82-E5CF79DE1CFA}">
      <text>
        <r>
          <rPr>
            <b/>
            <sz val="9"/>
            <color indexed="81"/>
            <rFont val="Times New Roman"/>
            <family val="1"/>
          </rPr>
          <t xml:space="preserve">Base de Cálculo da Multa do FGTS do Aviso Prévio Trabalhado:
- Referencial Técnico de Custos – Audin-MPU – 4ª Edição:
- MÓDULO 3 - PROVISÃO PARA RESCISÃO:
- Alínea 3.F. - Multa do FGTS do Aviso Prévio Trabalhado 
- Base de Cálculo: Módulo 1 + Submódulo 2.1
- Percentual: 1,70%
Decorrido um ano de vigência do contrato, caso haja prorrogação, o percentual informado na célula E84 deverá ser reduzido para 10% do valor original da proposta. Referencial Técnico de Custos – Audin-MPU – 4ª Edição.
</t>
        </r>
      </text>
    </comment>
    <comment ref="E93" authorId="2" shapeId="0" xr:uid="{D70EB8A2-FEA3-4E5F-86A5-DF335C8276CB}">
      <text>
        <r>
          <rPr>
            <b/>
            <sz val="9"/>
            <color indexed="81"/>
            <rFont val="Times New Roman"/>
            <family val="1"/>
          </rPr>
          <t>Percentual retirado, 8,33%, conforme orientação emanada pela autoridade competente. 
Para outros detalhes, vide documento juntado ao processo de contratação.</t>
        </r>
        <r>
          <rPr>
            <sz val="10"/>
            <rFont val="Arial"/>
            <family val="2"/>
          </rPr>
          <t xml:space="preserve">
</t>
        </r>
      </text>
    </comment>
    <comment ref="F93" authorId="2" shapeId="0" xr:uid="{BE2E5024-16D6-439C-9B60-5F249003A830}">
      <text>
        <r>
          <rPr>
            <b/>
            <sz val="9"/>
            <color indexed="81"/>
            <rFont val="Times New Roman"/>
            <family val="1"/>
          </rPr>
          <t>Base de Cálculo do Substituto na Cobertura de Férias:
- Referencial Técnico de Custos – Audin-MPU – 4ª Edição:
- MÓDULO 4 - CUSTO DE REPOSIÇÃO DO PROFISSIONAL AUSENTE:
- Submódulo 4.1 – Substituto nas Ausências Legais
- Alínea 4.1.A. - Substituto na cobertura de férias
- Base de Cálculo: Módulo 1 + Módulo 2
- Percentual: 8,33%
- Não haverá substituto por ocasião das férias.</t>
        </r>
        <r>
          <rPr>
            <b/>
            <sz val="9"/>
            <color rgb="FF000000"/>
            <rFont val="Times New Roman"/>
            <family val="1"/>
            <charset val="1"/>
          </rPr>
          <t xml:space="preserve">
</t>
        </r>
      </text>
    </comment>
    <comment ref="F94" authorId="2" shapeId="0" xr:uid="{E1E79B26-F54C-4019-A97D-19BBA8C1DA15}">
      <text>
        <r>
          <rPr>
            <b/>
            <sz val="9"/>
            <color indexed="81"/>
            <rFont val="Times New Roman"/>
            <family val="1"/>
          </rPr>
          <t xml:space="preserve">Base de Cálculo do Substituto na Cobertura de Ausências Legais:
- Referencial Técnico de Custos – Audin-MPU – 4ª Edição:
- MÓDULO 4 - CUSTO DE REPOSIÇÃO DO PROFISSIONAL AUSENTE:
- Submódulo 4.1 – Substituto nas Ausências Legais
- Alínea 4.1.B. - Substituto na cobertura de ausências legais
- Base de Cálculo: Módulo 1 + Módulo 2
- Percentual: 2,22%
</t>
        </r>
        <r>
          <rPr>
            <sz val="10"/>
            <rFont val="Arial"/>
            <family val="2"/>
          </rPr>
          <t xml:space="preserve">
</t>
        </r>
      </text>
    </comment>
    <comment ref="F95" authorId="2" shapeId="0" xr:uid="{3682E841-A801-4B36-B09D-8FC4711CE2E4}">
      <text>
        <r>
          <rPr>
            <b/>
            <sz val="9"/>
            <color indexed="81"/>
            <rFont val="Times New Roman"/>
            <family val="1"/>
          </rPr>
          <t xml:space="preserve">Base de Cálculo do Substituto na Cobertura de Licença-paternidade:
- Referencial Técnico de Custos – Audin-MPU – 4ª Edição:
- MÓDULO 4 - CUSTO DE REPOSIÇÃO DO PROFISSIONAL AUSENTE:
- Submódulo 4.1 – Substituto nas Ausências Legais
- Alínea 4.1.C. - Substituto na Cobertura de Licença-paternidade
- Base de Cálculo: Módulo 1 + Módulo 2
- Percentual: 0,04%
</t>
        </r>
      </text>
    </comment>
    <comment ref="F96" authorId="2" shapeId="0" xr:uid="{ED172966-0057-4C1F-BEC4-C9C74F08E1B6}">
      <text>
        <r>
          <rPr>
            <b/>
            <sz val="9"/>
            <color indexed="81"/>
            <rFont val="Times New Roman"/>
            <family val="1"/>
          </rPr>
          <t xml:space="preserve">Base de Cálculo do Substituto na Cobertura de Ausência por Acidente de Trabalho:
- Referencial Técnico de Custos – Audin-MPU – 4ª Edição:
- MÓDULO 4 - CUSTO DE REPOSIÇÃO DO PROFISSIONAL AUSENTE:
- Submódulo 4.1 – Substituto nas Ausências Legais
- Alínea 4.1.D.  - Substituto na Cobertura de Ausência por Acidente de Trabalho
- Base de Cálculo: Módulo 1 + Módulo 2
- Percentual: 0,02%
</t>
        </r>
      </text>
    </comment>
    <comment ref="F97" authorId="2" shapeId="0" xr:uid="{26020BCA-0DF0-4AFA-AC9D-3AA3B8ADC38A}">
      <text>
        <r>
          <rPr>
            <b/>
            <sz val="9"/>
            <color indexed="81"/>
            <rFont val="Times New Roman"/>
            <family val="1"/>
          </rPr>
          <t xml:space="preserve">Base de Cálculo do Substituto na Cobertura de Afastamento Maternidade:
- Referencial Técnico de Custos – Audin-MPU – 4ª Edição:
- MÓDULO 4 - CUSTO DE REPOSIÇÃO DO PROFISSIONAL AUSENTE:
- Submódulo 4.1 – Substituto nas Ausências Legais
- Alínea 4.1.E.  - Substituto na Cobertura de Afastamento Maternidade
- Base de Cálculo: Módulo 1 + Módulo 2
- Percentual: 0,14%
</t>
        </r>
        <r>
          <rPr>
            <sz val="10"/>
            <rFont val="Arial"/>
            <family val="2"/>
          </rPr>
          <t xml:space="preserve">
</t>
        </r>
      </text>
    </comment>
    <comment ref="F98" authorId="2" shapeId="0" xr:uid="{3EB7DF49-9379-4B5E-BCA8-1F26FFA5A793}">
      <text>
        <r>
          <rPr>
            <b/>
            <sz val="9"/>
            <color indexed="81"/>
            <rFont val="Times New Roman"/>
            <family val="1"/>
          </rPr>
          <t>Base de Cálculo do Substituto na Cobertura de Outras Ausências:
- Referencial Técnico de Custos – Audin-MPU – 4ª Edição:
- MÓDULO 4 - CUSTO DE REPOSIÇÃO DO PROFISSIONAL AUSENTE:
- Submódulo 4.1 – Substituto nas Ausências Legais
- Alínea 4.1.F.  - Substituto na Cobertura de Outras Ausências
- Base de Cálculo: Módulo 1 + Módulo 2 
- Obs.: Poderão ser inseridos outros custos referentes a ausências legais, caso estejam previstos em instrumento coletivo de trabalho ou, ainda, por força de lei.</t>
        </r>
      </text>
    </comment>
    <comment ref="F102" authorId="2" shapeId="0" xr:uid="{AE5E7940-1067-4CD1-A448-D97661D00057}">
      <text>
        <r>
          <rPr>
            <b/>
            <sz val="9"/>
            <color indexed="81"/>
            <rFont val="Times New Roman"/>
            <family val="1"/>
          </rPr>
          <t xml:space="preserve">Não haverá Substituição na cobertura de Intervalo para repouso ou alimentação.
Base de Cálculo do Substituto na Intrajornada:
- Referencial Técnico de Custos – Audin-MPU – 4ª Edição:
- MÓDULO 4 - CUSTO DE REPOSIÇÃO DO PROFISSIONAL AUSENTE:
- Submódulo 4.2 – Substituto na Intrajornada
- Alínea 4.2.A.  - Substituto na Cobertura de Intervalo para Repouso ou Alimentação, página 66
- Base de Cálculo: Módulo 1 + Módulo 2
Metodologia de Cálculo:
Caso a convenção coletiva não disponha de forma diversa, para calcular o valor da remuneração por hora trabalhada, consideram-se os valores totais da remuneração do empregado constante do Módulo 1, somados ao Módulo 2 – Encargos e Benefícios Anuais, Mensais e Diários (desconsiderando-se o 2.4. Intervalo Intrajornada) e, ainda, ao Módulo 3 – Provisão para Rescisão. Desse total, divide-se o valor por 220 horas.
Além disso, conforme previsto no caput do art. 71 c/c o inc. III do art. 611-A da CLT, considera-se o intervalo mínimo de 60 minutos para repouso ou alimentação, salvo disposição prevista em convenção ou acordo coletivo de trabalho, respeitado o limite mínimo de 30 minutos, dividindo-se por 60 minutos, com acréscimo de, no mínimo, 50% da remuneração da hora normal de trabalho.
</t>
        </r>
        <r>
          <rPr>
            <sz val="10"/>
            <rFont val="Arial"/>
            <family val="2"/>
          </rPr>
          <t xml:space="preserve">
</t>
        </r>
      </text>
    </comment>
    <comment ref="F111" authorId="1" shapeId="0" xr:uid="{5EE7CE1D-D821-4E25-89E6-23F1C609CD0D}">
      <text>
        <r>
          <rPr>
            <b/>
            <sz val="9"/>
            <color theme="1"/>
            <rFont val="Times New Roman"/>
            <family val="1"/>
          </rPr>
          <t>Referencial Técnico de Custos - 4ª Versão - AUDIN-MPU
MÓDULO 5 – INSUMOS DIVERSOS
5.A. - Uniformes
Apura-se o valor mensal do insumo multiplicando-se o preço unitário de cada conjunto de uniformes, após realizada ampla pesquisa de mercado, adotando-se preferencialmente o menor preço encontrado, pelo número de peças fornecidas por
empregado em um ano e dividindo-se o resultado pelo número de meses no ano, com vistas a estimar o custo mensal dos uniformes por empregado.
Vide subplanilha de Uniformes - Unif</t>
        </r>
        <r>
          <rPr>
            <sz val="11"/>
            <color theme="1"/>
            <rFont val="Aptos Narrow"/>
            <family val="2"/>
            <scheme val="minor"/>
          </rPr>
          <t xml:space="preserve">
</t>
        </r>
      </text>
    </comment>
    <comment ref="F112" authorId="0" shapeId="0" xr:uid="{4D8AAE86-DD8F-4F60-9743-EB4471B5EBBA}">
      <text>
        <r>
          <rPr>
            <b/>
            <sz val="9"/>
            <color indexed="81"/>
            <rFont val="Segoe UI"/>
            <family val="2"/>
          </rPr>
          <t>Apuração da base de cálculo dos Materiais
Referencial Técnico de Custos - 4ª Versão - AUDIN-MPU
MÓDULO 5 – INSUMOS DIVERSOS
5.B. - Materiais
Apura-se o valor mensal do insumo multiplicando-se o preço unitário de cada conjunto de uniformes, após realizada ampla pesquisa de mercado, adotando-se preferencialmente o menor preço encontrado, pelo número de peças fornecidas por empregado em um ano e dividindo-se o resultado pelo número de meses no ano, com vistas a estimar o custo mensal dos uniformes por empregado.
Optou-se, nesta licitação, por não incluir a reposição de material periodicamente, pois não há registro de consumo e por ser a opção que trará mais economia ao órgão.</t>
        </r>
        <r>
          <rPr>
            <sz val="9"/>
            <color indexed="81"/>
            <rFont val="Segoe UI"/>
            <family val="2"/>
          </rPr>
          <t xml:space="preserve">
</t>
        </r>
      </text>
    </comment>
    <comment ref="F113" authorId="0" shapeId="0" xr:uid="{D8E79E30-AA98-42C3-9FF5-3F2F3FEEA761}">
      <text>
        <r>
          <rPr>
            <b/>
            <sz val="9"/>
            <color indexed="81"/>
            <rFont val="Times New Roman"/>
            <family val="1"/>
          </rPr>
          <t xml:space="preserve">Referencial Técnico de Custos - 4ª Versão - AUDIN-MPU
MÓDULO 5 – INSUMOS DIVERSOS
5.C. - Equipamentos
Havendo necessidade do emprego de equipamentos, máquinas ou automóveis diretamente na execução dos serviços, o projeto básico ou termo de referência os indicará expressamente, com respectivos quantitativos. O custo de equipamentos deverá ser obtido após realizada ampla pesquisa de mercado, adotando-se preferencialmente o menor preço encontrado.
Diferentemente dos materiais, os equipamentos não são cotados na planilha pelo valor de aquisição integral, mas apenas o valor equivalente à taxa de depreciação anual. Se essa metodologia não for utilizada, a Administração pode cometer o erro de remunerar o contratado, ao fim de um ano, pelo custo de aquisição integral do equipamento, o que seria danoso para o erário, conforme discutido pelo TCU no âmbito do Acórdão TCU nº 966/2010 – Plenário.
Para identificação de vida útil e valor residual necessários para cálculo das taxas de depreciação, recomenda-se a utilização do Manual SIAFI, Macrofunção 020330, item 6. Mas isto não impossibilita a unidade de utilizar outro parâmetro idôneo, tal qual a IN RFB nº 1.700/2017, uma vez que a empresa contratada se vincula a esta para definição de sua depreciação.
Primeiramente, estima-se o custo anual de cada equipamento, após realização de pesquisa de mercado, multiplicando-se esse valor pela taxa anual de depreciação e, ainda, pelo número de meses no ano. Esse resultado deverá ser dividido pelo número total de empregados, para ser calculado o custo dos equipamentos por empregado.
- Manual SIAFI – Macrofunção 020330. DEPRECIAÇÃO, AMORTIZAÇÃO E EXAUSTÃO NA ADM. DIR. UNIÃO, AUT. E FUND.
(...)
6 - ESTIMATIVA DE VIDA ÚTIL ECONÔMICA E TAXA DE DEPRECIAÇÃO
(...)
6.3 Tabela de vida útil e valor residual para cada conta contábil.
- Instrução Normativa RFB nº 1.700, de 14/03/2017 (art. 124, §1º, e Anexo III – Taxas Anuais de Depreciação)
(...)
Art. 124. A taxa anual de depreciação será fixada em função do prazo durante o qual se possa esperar a utilização econômica do bem pelo contribuinte, na produção dos seus rendimentos. § 1º O prazo de vida útil admissível é aquele estabelecido no Anexo III desta Instrução Normativa, ficando assegurado ao contribuinte o direito de computar a quota efetivamente adequada às condições de depreciação dos seus bens, desde que faça prova dessa adequação quando adotar taxa diferente.
NOTA: NÃO HOUVE AQUISIÇÃO/SOLICITAÇÃO DE MATERIAL PERMANENTE.
</t>
        </r>
        <r>
          <rPr>
            <sz val="9"/>
            <color indexed="81"/>
            <rFont val="Segoe UI"/>
            <family val="2"/>
          </rPr>
          <t xml:space="preserve">
</t>
        </r>
      </text>
    </comment>
    <comment ref="F114" authorId="0" shapeId="0" xr:uid="{C199E1A1-2310-4900-A0EC-6C0939A2FBC9}">
      <text>
        <r>
          <rPr>
            <b/>
            <sz val="9"/>
            <color indexed="81"/>
            <rFont val="Segoe UI"/>
            <family val="2"/>
          </rPr>
          <t>O valor do equipament de proteção da subplanilha EPIs foi divida à razão da metade, em razão da demanda anual do posto.</t>
        </r>
        <r>
          <rPr>
            <sz val="9"/>
            <color indexed="81"/>
            <rFont val="Segoe UI"/>
            <family val="2"/>
          </rPr>
          <t xml:space="preserve">
</t>
        </r>
      </text>
    </comment>
    <comment ref="A117" authorId="1" shapeId="0" xr:uid="{A1138679-D63C-4C0C-B7A8-9EF4F82E9CB7}">
      <text>
        <r>
          <rPr>
            <sz val="11"/>
            <color theme="1"/>
            <rFont val="Aptos Narrow"/>
            <family val="2"/>
            <scheme val="minor"/>
          </rPr>
          <t xml:space="preserve">O Módulo 6 – Custos Indiretos, Tributos e Lucro –, conforme o Anexo VII-D da Instrução Normativa SEGES/MPDG nº 5/2017, é composto por 3 (três) Alíneas, discriminadas nas rubricas a seguir:
6.A. Custos Indireto;
6.B. Lucro;
6.C. Tributos.
</t>
        </r>
      </text>
    </comment>
    <comment ref="F119" authorId="2" shapeId="0" xr:uid="{84038521-6ED4-489C-9DF9-A709F51CC94B}">
      <text>
        <r>
          <rPr>
            <b/>
            <sz val="9"/>
            <color indexed="81"/>
            <rFont val="Times New Roman"/>
            <family val="1"/>
          </rPr>
          <t>Base de Cálculo dos Custos Indiretos:
- Referencial Técnico de Custos – Audin-MPU – 4ª Edição:
- MÓDULO 6 – CUSTOS INDIRETOS, TRIBUTOS E LUCRO:
Percentuais
- 4,73% 
- Fórmula: [(Módulo 1 + Módulo 2 + Módulo 3 + Módulo 4 + Módulo 5) x Custos Indiretos %]</t>
        </r>
      </text>
    </comment>
    <comment ref="F120" authorId="2" shapeId="0" xr:uid="{9D712EA8-8920-4708-91A8-F66B3CCF01DB}">
      <text>
        <r>
          <rPr>
            <b/>
            <sz val="9"/>
            <rFont val="Times New Roman"/>
            <family val="1"/>
            <charset val="1"/>
          </rPr>
          <t xml:space="preserve">Base de Cálculo do Lucro:
- Referencial Técnico de Custos – Audin-MPU – 4ª Edição:
- MÓDULO 6 – CUSTOS INDIRETOS, TRIBUTOS E LUCRO:
Percentuais:
- 5,57% 
- Fórmula: [(Módulo 1 + Módulo 2 + Módulo 3 + Módulo 4 + Módulo 5 + Custos Indiretos) x Lucro %]
</t>
        </r>
      </text>
    </comment>
    <comment ref="F122" authorId="2" shapeId="0" xr:uid="{1AD728CE-B771-4202-8373-5E6122DA75B2}">
      <text>
        <r>
          <rPr>
            <b/>
            <sz val="9"/>
            <rFont val="Times New Roman"/>
            <family val="1"/>
          </rPr>
          <t>- Fórmula: Base de Cálculo do PIS – Lucro Presumido:
- Referencial Técnico de Custos – Audin-MPU – 4ª Edição:
- MÓDULO 6 – CUSTOS INDIRETOS, TRIBUTOS E LUCRO:
Percentual: 0,65% 
- Fórmula: [</t>
        </r>
        <r>
          <rPr>
            <b/>
            <u/>
            <sz val="9"/>
            <color rgb="FF000000"/>
            <rFont val="Times New Roman"/>
            <family val="1"/>
          </rPr>
          <t xml:space="preserve">(Somatório dos Módulos 1 + 2 + 3 + 4 + 5 + Custos Indiretos + Lucro) x % do tributo]
</t>
        </r>
        <r>
          <rPr>
            <b/>
            <sz val="9"/>
            <color rgb="FF000000"/>
            <rFont val="Times New Roman"/>
            <family val="1"/>
          </rPr>
          <t xml:space="preserve">                                                               (1 - Σ % dos tributos)
</t>
        </r>
      </text>
    </comment>
    <comment ref="F123" authorId="2" shapeId="0" xr:uid="{8EB1A80F-FBF2-4FA6-8E30-226D63050E9E}">
      <text>
        <r>
          <rPr>
            <b/>
            <sz val="9"/>
            <rFont val="Times New Roman"/>
            <family val="1"/>
          </rPr>
          <t>- Fórmula: Base de Cálculo da Cofins – Lucro Presumido:
- Referencial Técnico de Custos – Audin-MPU – 4ª Edição:
- MÓDULO 6 – CUSTOS INDIRETOS, TRIBUTOS E LUCRO:
Percentual: 3,00% 
- Fórmula: [</t>
        </r>
        <r>
          <rPr>
            <b/>
            <u/>
            <sz val="9"/>
            <color rgb="FF000000"/>
            <rFont val="Times New Roman"/>
            <family val="1"/>
          </rPr>
          <t xml:space="preserve">(Somatório dos Módulos 1 + 2 + 3 + 4 + 5 + Custos Indiretos + Lucro) x % do tributo]
</t>
        </r>
        <r>
          <rPr>
            <b/>
            <sz val="9"/>
            <color rgb="FF000000"/>
            <rFont val="Times New Roman"/>
            <family val="1"/>
          </rPr>
          <t xml:space="preserve">                                                                 (1 - Σ % dos tributos)</t>
        </r>
        <r>
          <rPr>
            <b/>
            <sz val="9"/>
            <color rgb="FF000000"/>
            <rFont val="Times New Roman"/>
            <family val="1"/>
            <charset val="1"/>
          </rPr>
          <t xml:space="preserve">
</t>
        </r>
      </text>
    </comment>
    <comment ref="F124" authorId="2" shapeId="0" xr:uid="{344837DC-ADBF-443E-BDAB-E0D42DE1C4B6}">
      <text>
        <r>
          <rPr>
            <b/>
            <sz val="9"/>
            <rFont val="Times New Roman"/>
            <family val="1"/>
          </rPr>
          <t>- Fórmula: Base de Cálculo do ISS – Lucro Presumido:
- Referencial Técnico de Custos – Audin-MPU – 4ª Edição:
- MÓDULO 6 – CUSTOS INDIRETOS, TRIBUTOS E LUCRO:
Percentual: 5,00% 
- Fórmula: [</t>
        </r>
        <r>
          <rPr>
            <b/>
            <u/>
            <sz val="9"/>
            <color rgb="FF000000"/>
            <rFont val="Times New Roman"/>
            <family val="1"/>
          </rPr>
          <t xml:space="preserve">(Somatório dos Módulos 1 + 2 + 3 + 4 + 5 + Custos Indiretos + Lucro) x % do tributo]
</t>
        </r>
        <r>
          <rPr>
            <b/>
            <sz val="9"/>
            <color rgb="FF000000"/>
            <rFont val="Times New Roman"/>
            <family val="1"/>
          </rPr>
          <t xml:space="preserve">                                                                (1 - Σ % dos tributos)</t>
        </r>
        <r>
          <rPr>
            <b/>
            <sz val="9"/>
            <color rgb="FF000000"/>
            <rFont val="Times New Roman"/>
            <family val="1"/>
            <charset val="1"/>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横山 隆一Lyuity Yokoyama</author>
    <author>Lyuity Yokoyama</author>
    <author>Autor desconhecido</author>
  </authors>
  <commentList>
    <comment ref="C26" authorId="0" shapeId="0" xr:uid="{2741504E-8E4B-43AB-AD27-949FA8A09292}">
      <text>
        <r>
          <rPr>
            <b/>
            <sz val="8"/>
            <color indexed="81"/>
            <rFont val="Segoe UI"/>
            <family val="2"/>
          </rPr>
          <t xml:space="preserve">Descrição Sumária
Executam serviços de manutenção elétrica, mecânica, hidráulica, carpintaria e alvena ria, substituindo, trocando, limpando, reparando e instalando peças, componentes eequipamentos. conservam vidros e fachadas, limpam recintos e acessórios e tratam depiscinas. trabalham seguindo normas de segurança, higiene, qualidade e proteção aomeio ambiente. </t>
        </r>
        <r>
          <rPr>
            <sz val="9"/>
            <color indexed="81"/>
            <rFont val="Segoe UI"/>
            <family val="2"/>
          </rPr>
          <t xml:space="preserve">
</t>
        </r>
      </text>
    </comment>
    <comment ref="F34" authorId="1" shapeId="0" xr:uid="{407CB19A-983F-41D0-A17E-42EAF7CE391E}">
      <text>
        <r>
          <rPr>
            <b/>
            <sz val="9"/>
            <color theme="1"/>
            <rFont val="Times New Roman"/>
            <family val="1"/>
          </rPr>
          <t>Base de cálculo do salário-base contido na:
- Convenção Coletiva de Trabalho 2023/2025
- Anexo ao Termo de Referência
TABELA GERAL DE REMUNERAÇÃO DE FLUVIÁRIOS
VIGÊNCIA: 01 DE SETEMBRO DE 2023 A 31 DE AGOSTO DE 2024
REAJUSTADA EM 5% (CINCO POR CENTO) SOBRE A REMUNERAÇÃO MENSAL VIGENTE EM 31 DE AGOSTO DE 2023
Tabela obtida no síto eletrônico do Sindicato das Empresas de Navegação Fluvial e Lacustre e das Agências de Navegação no Estado do Pará (Sindarpa).
Anexo ao Termo de Referência.</t>
        </r>
        <r>
          <rPr>
            <sz val="11"/>
            <color theme="1"/>
            <rFont val="Aptos Narrow"/>
            <family val="2"/>
            <scheme val="minor"/>
          </rPr>
          <t xml:space="preserve">
</t>
        </r>
      </text>
    </comment>
    <comment ref="F35" authorId="1" shapeId="0" xr:uid="{B3844DDF-1025-49B4-BA33-180A363AF6D2}">
      <text>
        <r>
          <rPr>
            <b/>
            <sz val="9"/>
            <color theme="1"/>
            <rFont val="Times New Roman"/>
            <family val="1"/>
          </rPr>
          <t>Base de cálculo da Gratificação de Função:
TABELA GERAL DE REMUNERAÇÃO DE FLUVIÁRIOS
VIGÊNCIA: 01 DE SETEMBRO DE 2023 A 31 DE AGOSTO DE 2024
REAJUSTADA EM 5% (CINCO POR CENTO) SOBRE A REMUNERAÇÃO MENSAL VIGENTE EM 1º DE SETEMBRO DE 2023
Na tabeka geral de remuneração de fluviários, o cálculo informa que o percentual incidente sobre o salário-base (soldada-base) é de 20%.
Fórmula: Salário-Base x 20%
Por outro lado, na Convenção Coletiva de Trabalho vigente, informa que:
GRATIFICAÇÕES, ADICIONAIS, AUXÍLIOS E OUTROS
GRATIFICAÇÃO DE FUNÇÃO
CLÁUSULA NONA - GRATIFICAÇÃO DE COMANDO
O tripulante (Contramestre Fluvial, Marinheiro Fluvial de Convés ou Marinheiro Auxiliar Fluvial) que acumular afunção de comando a bordo de qualquer embarcação, perceberão, além da soldada-base, uma gratificação decomando estipulada em 25% (vinte e cinco por cento) da soldada-base da categoria superior com repercussãoem todas as demais vantagens trabalhistas: horas extras, adicional noturno, periculosidade/insalubridade, etapa,repouso remunerado, férias, 13º salário e depósitos do FGTS.
Por haver dubiedade nas informações, optou-se por aderir ao que está disposto na tabela geral de remunerações, por trazer de forma explícita e objetiva o percentual incidente sobre a soldada-base na gratificação em epígrafe.</t>
        </r>
      </text>
    </comment>
    <comment ref="F36" authorId="1" shapeId="0" xr:uid="{CF57BAB1-0C21-4470-8C2A-25937FF85DC3}">
      <text>
        <r>
          <rPr>
            <b/>
            <sz val="9"/>
            <color theme="1"/>
            <rFont val="Times New Roman"/>
            <family val="1"/>
          </rPr>
          <t xml:space="preserve">Base de cálculo do Adicional de Insalubridade:
Referencial Técnico de Custos – AUDIN/MPU – 4ª Edição
MÓDULO 1 – COMPOSIÇÃO DA REMUNERAÇÃO
Alínea 1.C. - Adicional de insalubridade
O adicional de insalubridade é devido ao empregado que, para o desempenho do seu trabalho, tem de realizar atividade insalubre, ou seja, que implique em exposição a agentes nocivos à saúde, acima dos limites de tolerância considerados adequados.
A classificação da atividade como insalubre dá-se mediante edição, pelo Ministério do Trabalho, de quadro de atividades insalubres e os limites de tolerância e tempo máximo de exposição aos agentes nocivos. A norma vigente que disciplina a matéria é a Norma Regulamentadora nº 15, anexa à Portaria 3.214/1978.
Fórmula: Salário-Base x (percentual conforme a exposição ao risco) %
Metodologia de Cálculo:
Para calcular o valor do adicional de insalubridade deve-se multiplicar o valor do salário mínimo vigente pelos seguintes percentuais: máximo – 40%; médio – 20%; mínimo – 10%, conforme for a exposição ao risco.
CONVENÇÃO COLETIVA DE TRABALHO 2023/2025
CLÁUSULA DÉCIMA QUARTA - PERICULOSIDADE E/OU INSALUBRIDADE
Os adicionais de periculosidade e/ou insalubridade serão pagos à razão de 30% da soldada-base e etapa, comrepercussão nas demais verbas trabalhistas, horas extras, adicional noturno, repouso remunerado, férias, 13ºsalário e depósito do FGTS.
NÚMERO DE REGISTRO NO MTE: PA001062/2023
DATA DE REGISTRO NO MTE: 18/12/2023
NÚMERO DA SOLICITAÇÃO: MR066510/2023
NÚMERO DO PROCESSO: 13620.201354/2023-19
DATA DO PROTOCOLO: 18/12/2023
O adicional de insalubridade é devido ao empregado que, para o desempenho do seu trabalho, tem de realizar atividade insalubre, ou seja, que implique em exposição a agentes nocivos à saúde, acima dos limites de tolerância considerados adequados.
Por haver dubiedade entre o valor calculado pela Comissão e o valor informado na tabela, optou-se pela inclusão do valor referenciado na tabela geral de remuneração de fluviários.
=TRUNCAR(((F34+F65)*0,3);2) = R$ 515,56
</t>
        </r>
        <r>
          <rPr>
            <sz val="11"/>
            <color theme="1"/>
            <rFont val="Aptos Narrow"/>
            <family val="2"/>
            <scheme val="minor"/>
          </rPr>
          <t xml:space="preserve">
</t>
        </r>
      </text>
    </comment>
    <comment ref="F37" authorId="1" shapeId="0" xr:uid="{A832D54A-DB61-4224-A0DA-E8AF258DB319}">
      <text>
        <r>
          <rPr>
            <b/>
            <sz val="9"/>
            <color theme="1"/>
            <rFont val="Times New Roman"/>
            <family val="1"/>
          </rPr>
          <t>Base de cálculo do Adicional de Horas Extras:
CONVENÇÃO COLETIVA DE TRABALHO 2023/2025
CLÁUSULA DÉCIMA PRIMEIRA - ADICIONAL DE HORAS-EXTRAS
NÚMERO DE REGISTRO NO MTE: PA001062/2023
DATA DE REGISTRO NO MTE: 18/12/2023
NÚMERO DA SOLICITAÇÃO: MR066510/2023
NÚMERO DO PROCESSO: 13620.201354/2023-19
DATA DO PROTOCOLO: 18/12/2023</t>
        </r>
        <r>
          <rPr>
            <sz val="9"/>
            <color theme="1"/>
            <rFont val="Times New Roman"/>
            <family val="1"/>
          </rPr>
          <t xml:space="preserve">
</t>
        </r>
        <r>
          <rPr>
            <b/>
            <sz val="9"/>
            <color theme="1"/>
            <rFont val="Times New Roman"/>
            <family val="1"/>
          </rPr>
          <t xml:space="preserve">
Optou-se por adotar o valor expresso na tabela.</t>
        </r>
      </text>
    </comment>
    <comment ref="F38" authorId="1" shapeId="0" xr:uid="{1C8FD1BA-FA82-4D7F-A02F-075C63664161}">
      <text>
        <r>
          <rPr>
            <b/>
            <sz val="9"/>
            <color theme="1"/>
            <rFont val="Times New Roman"/>
            <family val="1"/>
          </rPr>
          <t>Base de cálculo do Adicional Noturno:
CONVENÇÃO COLETIVA DE TRABALHO 2023/2025
CLÁUSULA DÉCIMA TERCEIRA - ADICIONAL NOTURNO
NÚMERO DE REGISTRO NO MTE: PA001062/2023
DATA DE REGISTRO NO MTE: 18/12/2023
NÚMERO DA SOLICITAÇÃO: MR066510/2023
NÚMERO DO PROCESSO: 13620.201354/2023-19
DATA DO PROTOCOLO: 18/12/2023</t>
        </r>
        <r>
          <rPr>
            <sz val="9"/>
            <color theme="1"/>
            <rFont val="Times New Roman"/>
            <family val="1"/>
          </rPr>
          <t xml:space="preserve">
</t>
        </r>
        <r>
          <rPr>
            <b/>
            <sz val="9"/>
            <color theme="1"/>
            <rFont val="Times New Roman"/>
            <family val="1"/>
          </rPr>
          <t>=ARRED((((((F34+F35+F36+F65)/188,57)*0,2)*30)*8);2)
Optou-se por adotar o valor expresso na tabela.</t>
        </r>
      </text>
    </comment>
    <comment ref="F39" authorId="1" shapeId="0" xr:uid="{E4632DDB-E1E3-42EA-989C-92AFBC6C1F38}">
      <text>
        <r>
          <rPr>
            <b/>
            <sz val="9"/>
            <color theme="1"/>
            <rFont val="Times New Roman"/>
            <family val="1"/>
          </rPr>
          <t>Base de cálculo do Repouso Remunerado:
CONVENÇÃO COLETIVA DE TRABALHO 2023/2025
CLÁUSULA DÉCIMA QUINTA - REPOUSO REMUNERADO
NÚMERO DE REGISTRO NO MTE: PA001062/2023
DATA DE REGISTRO NO MTE: 18/12/2023
NÚMERO DA SOLICITAÇÃO: MR066510/2023
NÚMERO DO PROCESSO: 13620.201354/2023-19
DATA DO PROTOCOLO: 18/12/2023</t>
        </r>
        <r>
          <rPr>
            <sz val="9"/>
            <color theme="1"/>
            <rFont val="Times New Roman"/>
            <family val="1"/>
          </rPr>
          <t xml:space="preserve">
</t>
        </r>
        <r>
          <rPr>
            <b/>
            <sz val="9"/>
            <color theme="1"/>
            <rFont val="Times New Roman"/>
            <family val="1"/>
          </rPr>
          <t>=TRUNCAR((((F34+F35+F36+F37+F38+F65)*5)/30);2)
Optou-se por adotar o valor expresso na tabela.</t>
        </r>
      </text>
    </comment>
    <comment ref="F40" authorId="0" shapeId="0" xr:uid="{14D7EB29-9F1A-47ED-A27E-F92A83FC20D6}">
      <text>
        <r>
          <rPr>
            <b/>
            <sz val="9"/>
            <color indexed="81"/>
            <rFont val="Segoe UI"/>
            <family val="2"/>
          </rPr>
          <t>O valor de R$ 218,14 não integra a remuneração-base, uma vez que serviu apenas como base de cálculo para contabilizar outros subitens da remuneração. Ainda, a soldada-base não será usada como pagamento do vale-alimentação. O vale-alimentação usado será o do sindicato SEAC/SINELPA do estado do Pará que prevê o valor de R$ 26,53, por dia trabalhado.</t>
        </r>
        <r>
          <rPr>
            <sz val="9"/>
            <color indexed="81"/>
            <rFont val="Segoe UI"/>
            <family val="2"/>
          </rPr>
          <t xml:space="preserve">
</t>
        </r>
      </text>
    </comment>
    <comment ref="F46" authorId="2" shapeId="0" xr:uid="{8FB97BF3-4083-41D7-878D-9C1A75B1A58B}">
      <text>
        <r>
          <rPr>
            <b/>
            <sz val="9"/>
            <color indexed="81"/>
            <rFont val="Times New Roman"/>
            <family val="1"/>
          </rPr>
          <t xml:space="preserve">Base de Cálculo do 13º Salário:
Referencial Técnico de Custos – Audin-MPU – 4ª Edição:
- MÓDULO 2 – ENCARGOS E BENEFÍCIOS ANUAIS, MENSAIS E DIÁRIOS
- Submódulo 2.1 – 13º (Décimo Terceiro) Salário e Adicional de Férias
- Alínea 2.1.A – 13º (Décimo Terceiro) Salário
- (1/12) x 100 = 8,33%
</t>
        </r>
      </text>
    </comment>
    <comment ref="F47" authorId="2" shapeId="0" xr:uid="{ACFB6BD2-1470-43B4-8D86-951D23D6F5A7}">
      <text>
        <r>
          <rPr>
            <b/>
            <sz val="9"/>
            <color indexed="81"/>
            <rFont val="Times New Roman"/>
            <family val="1"/>
          </rPr>
          <t xml:space="preserve">Base de Cálculo do Adicional de Férias:
Referencial Técnico de Custos – Audin-MPU – 4ª Edição:
- MÓDULO 2 – ENCARGOS E BENEFÍCIOS ANUAIS, MENSAIS E DIÁRIOS
- Submódulo 2.1 – 13º (Décimo Terceiro) Salário e Adicional de Férias
- Alínea 2.1.B – Adicional de Férias
- [(1/3)/12] x 100 = 2,78%
</t>
        </r>
      </text>
    </comment>
    <comment ref="F51" authorId="2" shapeId="0" xr:uid="{31ED97FF-F96F-4DF5-8E24-5AF574654CC9}">
      <text>
        <r>
          <rPr>
            <b/>
            <sz val="9"/>
            <color indexed="81"/>
            <rFont val="Times New Roman"/>
            <family val="1"/>
          </rPr>
          <t>Base de Cálculo do INSS:
- Referencial Técnico de Custos – Audin-MPU – 4ª Edição:
- MÓDULO 2 – ENCARGOS E BENEFÍCIOS ANUAIS, MENSAIS E DIÁRIOS;
- Submódulo 2.2 – Encargos Previdenciários (GPS), Fundo de Garantia por Tempo de Serviço (FGTS) e outras contribuições;
- Alínea 2.2.A - INSS
- Base de Cálculo: Módulo 1 + Submódulo 2.1
- Percentual: 20,00%</t>
        </r>
        <r>
          <rPr>
            <b/>
            <sz val="9"/>
            <color indexed="81"/>
            <rFont val="Arial"/>
            <family val="2"/>
          </rPr>
          <t xml:space="preserve">
</t>
        </r>
      </text>
    </comment>
    <comment ref="F52" authorId="2" shapeId="0" xr:uid="{82E86B38-DDE9-4BF5-9435-FAA686ED159E}">
      <text>
        <r>
          <rPr>
            <b/>
            <sz val="9"/>
            <color indexed="81"/>
            <rFont val="Times New Roman"/>
            <family val="1"/>
          </rPr>
          <t xml:space="preserve">Base de Cálculo do Salário Educação:
- Referencial Técnico de Custos – Audin-MPU – 4ª Edição:
- MÓDULO 2 – ENCARGOS E BENEFÍCIOS ANUAIS, MENSAIS E DIÁRIOS;
- Submódulo 2.2 – Encargos Previdenciários (GPS), Fundo de Garantia por
Tempo de Serviço (FGTS) e outras contribuições;
- Alínea 2.2.B - Salário Educação
- Base de Cálculo: Módulo 1 + Submódulo 2.1
- Percentual: 2,50%
</t>
        </r>
      </text>
    </comment>
    <comment ref="F53" authorId="2" shapeId="0" xr:uid="{146BD214-86BD-4DEA-B63B-AE75EC2AF7CC}">
      <text>
        <r>
          <rPr>
            <b/>
            <sz val="9"/>
            <color indexed="81"/>
            <rFont val="Times New Roman"/>
            <family val="1"/>
          </rPr>
          <t xml:space="preserve">Base de Cálculo do Risco Ambiental do Trabalho – RAT:
- Referencial Técnico de Custos – Audin-MPU – 4ª Edição:
- MÓDULO 2 – ENCARGOS E BENEFÍCIOS ANUAIS, MENSAIS E DIÁRIOS;
- Submódulo 2.2 – Encargos Previdenciários (GPS), Fundo de Garantia por Tempo de Serviço (FGTS) e outras contribuições;
- Alínea 2.2.C - Riscos Ambientais do Trabalho
- Base de Cálculo: Módulo 1 + Submódulo 2.1
- Percentual: de 1 a 3%
</t>
        </r>
      </text>
    </comment>
    <comment ref="F54" authorId="2" shapeId="0" xr:uid="{58836BC4-C2A4-4292-8E93-871E0A785E24}">
      <text>
        <r>
          <rPr>
            <b/>
            <sz val="9"/>
            <color indexed="81"/>
            <rFont val="Times New Roman"/>
            <family val="1"/>
          </rPr>
          <t xml:space="preserve">Base de Cálculo do SESC:
- Referencial Técnico de Custos – Audin-MPU – 4ª Edição:
- MÓDULO 2 – ENCARGOS E BENEFÍCIOS ANUAIS, MENSAIS E DIÁRIOS;
- Submódulo 2.2 – Encargos Previdenciários (GPS), Fundo de Garantia por Tempo de Serviço (FGTS) e outras contribuições;
- Alínea 2.2.D - SESC
- Base de Cálculo: Módulo 1 + Submódulo 2.1
- Percentual: 1,50%
</t>
        </r>
      </text>
    </comment>
    <comment ref="F55" authorId="2" shapeId="0" xr:uid="{6A34D370-5CE6-48C3-AE8C-F62CD29D280B}">
      <text>
        <r>
          <rPr>
            <b/>
            <sz val="9"/>
            <rFont val="Times New Roman"/>
            <family val="1"/>
            <charset val="1"/>
          </rPr>
          <t xml:space="preserve">Base de Cálculo do SENAC:
- Referencial Técnico de Custos – Audin-MPU – 4ª Edição:
- MÓDULO 2 – ENCARGOS E BENEFÍCIOS ANUAIS, MENSAIS E DIÁRIOS;
- Submódulo 2.2 – Encargos Previdenciários (GPS), Fundo de Garantia por Tempo de Serviço (FGTS) e outras contribuições;
- Alínea 2.2.E - SENAC
- Base de Cálculo: Módulo 1 + Submódulo 2.1
- Percentual: 1,00%
</t>
        </r>
      </text>
    </comment>
    <comment ref="E56" authorId="0" shapeId="0" xr:uid="{2705E80F-F4F7-4852-809D-1F861182044A}">
      <text>
        <r>
          <rPr>
            <b/>
            <sz val="9"/>
            <color indexed="81"/>
            <rFont val="Segoe UI"/>
            <family val="2"/>
          </rPr>
          <t>OBSERVAÇÃO:
Importante mencionar que a alíquota de 0,60% corresponde à soma das
alíquotas de 0,3% para o SESC e 0,3% para o SENAC, entidades do Sistema S
abrangidas pelas empresas que prestam serviços aos órgãos públicos.
Em relação às empresas contratadas que são enquadradas mediante o
FPAS 566, a própria empresa contratada deve comprovar qual o percentual que deverá ser utilizado, ou seja, há a previsão de 0,3% ou de 0,6%, a depender do FPAS da contratada.</t>
        </r>
        <r>
          <rPr>
            <sz val="9"/>
            <color indexed="81"/>
            <rFont val="Segoe UI"/>
            <family val="2"/>
          </rPr>
          <t xml:space="preserve">
</t>
        </r>
      </text>
    </comment>
    <comment ref="F56" authorId="2" shapeId="0" xr:uid="{74F879A0-6CE4-4649-9222-BD06A84BAD9C}">
      <text>
        <r>
          <rPr>
            <b/>
            <sz val="9"/>
            <color indexed="81"/>
            <rFont val="Times New Roman"/>
            <family val="1"/>
          </rPr>
          <t>Base de Cálculo do SEBRAE:
- Referencial Técnico de Custos – Audin-MPU – 4ª Edição:
- MÓDULO 2 – ENCARGOS E BENEFÍCIOS ANUAIS, MENSAIS E DIÁRIOS;
- Submódulo 2.2 – Encargos Previdenciários (GPS), Fundo de Garantia por Tempo de Serviço (FGTS) e outras contribuições;
- Alínea 2.2.F - SEBRAE
- Base de Cálculo: Módulo 1 + Submódulo 2.1
- Percentual: 0,60%</t>
        </r>
        <r>
          <rPr>
            <sz val="10"/>
            <rFont val="Arial"/>
            <family val="2"/>
          </rPr>
          <t xml:space="preserve">
</t>
        </r>
      </text>
    </comment>
    <comment ref="F57" authorId="2" shapeId="0" xr:uid="{30C2A078-D516-41E9-81A7-B4A1EE6F69F2}">
      <text>
        <r>
          <rPr>
            <b/>
            <sz val="9"/>
            <color indexed="81"/>
            <rFont val="Times New Roman"/>
            <family val="1"/>
          </rPr>
          <t>Base de Cálculo do INCRA:
- Referencial Técnico de Custos – Audin-MPU – 4ª Edição:
- MÓDULO 2 – ENCARGOS E BENEFÍCIOS ANUAIS, MENSAIS E DIÁRIOS;
- Submódulo 2.2 – Encargos Previdenciários (GPS), Fundo de Garantia por Tempo de Serviço (FGTS) e outras contribuições;
- Alínea 2.2.G - INCRA
- Base de Cálculo: Módulo 1 + Submódulo 2.1
- Percentual: 0,20%</t>
        </r>
        <r>
          <rPr>
            <sz val="10"/>
            <rFont val="Arial"/>
            <family val="2"/>
          </rPr>
          <t xml:space="preserve">
</t>
        </r>
      </text>
    </comment>
    <comment ref="F58" authorId="2" shapeId="0" xr:uid="{00785A09-C898-4A5C-B127-7D28442A6E9F}">
      <text>
        <r>
          <rPr>
            <b/>
            <sz val="9"/>
            <color indexed="81"/>
            <rFont val="Times New Roman"/>
            <family val="1"/>
          </rPr>
          <t>Base de Cálculo do FGTS:
- Referencial Técnico de Custos – Audin-MPU – 4ª Edição:
- MÓDULO 2 – ENCARGOS E BENEFÍCIOS ANUAIS, MENSAIS E DIÁRIOS;
- Submódulo 2.2 – Encargos Previdenciários (GPS), Fundo de Garantia por Tempo de Serviço (FGTS) e outras contribuições;
- Alínea 2.2.H - FGTS
- Base de Cálculo: Módulo 1 + Submódulo 2.1
- Percentual: 8,00%</t>
        </r>
        <r>
          <rPr>
            <sz val="10"/>
            <rFont val="Arial"/>
            <family val="2"/>
          </rPr>
          <t xml:space="preserve">
</t>
        </r>
      </text>
    </comment>
    <comment ref="F63" authorId="0" shapeId="0" xr:uid="{AF85B9E7-EB8F-4804-89FD-7D6E13658472}">
      <text>
        <r>
          <rPr>
            <b/>
            <sz val="9"/>
            <color indexed="81"/>
            <rFont val="Segoe UI"/>
            <family val="2"/>
          </rPr>
          <t>Memória de Cálculo do Vale-Transporte:
- Referencial Técnico de Custos – Audin-MPU – 4ª Edição:
- MÓDULO 2 – ENCARGOS E BENEFÍCIOS ANUAIS, MENSAIS E DIÁRIOS;
- Submódulo 2.3 – Benefícios Mensais e Diários
- Alínea 2.3.A. - Vale-Transporte
- Instrução Normativa SEGES/MPDG nº 5/2017
- Decreto Nº 103788 DE 25/03/2022
- Valor da tarifa da passagem x 2 x 2 – (6% x Salário-Base)</t>
        </r>
      </text>
    </comment>
    <comment ref="F65" authorId="0" shapeId="0" xr:uid="{CB905F8B-6FB9-4A99-B5FC-2C6892566871}">
      <text>
        <r>
          <rPr>
            <b/>
            <sz val="9"/>
            <color indexed="81"/>
            <rFont val="Segoe UI"/>
            <family val="2"/>
          </rPr>
          <t>Memória de Cálculo do Vale-Alimentação:
- Referencial Técnico de Custos – Audin-MPU – 4ª Edição:
- MÓDULO 2 – ENCARGOS E BENEFÍCIOS ANUAIS, MENSAIS E DIÁRIOS;
- Submódulo 2.3 – Benefícios Mensais e Diários
- Alínea 2.3.B. - Vale-Alimentação
- Instrução Normativa SEGES/MPDG nº 5/2017
- Valor diário do auxílio-alimentação x 12
- ((26,53 – (26,53 x 10%)) x 12). Valor diário da alimentação – 10% x 12 dias. 
- Referencial AUDIN, 4ª edição c/c CONVENÇÃO COLETIVA 2024/2025 SEAC/SINELPA - AUXÍLIO ALIMENTAÇÃO - CLÁUSULA DÉCIMA QUINTA - TICKET ALIMENTAÇÃO/ CARTÃO REFEIÇÃO</t>
        </r>
        <r>
          <rPr>
            <sz val="9"/>
            <color indexed="81"/>
            <rFont val="Segoe UI"/>
            <family val="2"/>
          </rPr>
          <t xml:space="preserve">
</t>
        </r>
      </text>
    </comment>
    <comment ref="F67" authorId="0" shapeId="0" xr:uid="{24FF2EF5-1D42-4D09-96B5-9862856C9E81}">
      <text>
        <r>
          <rPr>
            <b/>
            <sz val="9"/>
            <color indexed="81"/>
            <rFont val="Segoe UI"/>
            <family val="2"/>
          </rPr>
          <t xml:space="preserve">Do Seguro de vida em Grupo, Auxílio Morte/Funeral e Assistência Médica e Familiar (Auxílio Doença/Invalidez)
À critério da licitante, os valores referentes aos seguintes auxílios poderão ser adicionados na célula F67.
- Referencial Técnico de Custos – Audin-MPU – 3ª Edição:
- MÓDULO 2 – ENCARGOS E BENEFÍCIOS ANUAIS, MENSAIS E DIÁRIOS;
- Submódulo 2.3 – Benefícios Mensais e Diários
- Alínea 2.3.C.
- Instrução Normativa SEGES/MPDG nº 5/2017
CONVENÇÃO COLETIVA DE TRABALHO 2023/2025
NÚMERO DE REGISTRO NO MTE: PA001062/2023
CLÁUSULA DÉCIMA NONA - OUTROS AUXÍLIOS:
- AUXÍLIO DOENÇA/INVALIDEZ
Em caso de hospitalização do tripulante fora do seu domicílio, o armador ou empresa arcarão com os custosmédicos hospitalares, bem como o pagamento dos salários e vantagens dos dias de doença até a transferência elegalização junto ao INSS. Em caso de doença ou acidente diagnosticado como grave ou gravíssimo, se não forpossível a sua transferência para o seu domicilio, o armador ou empresa fornecerá estadia, limitada ao valor deduas (02) soldadas base, pelo período que for internado e passagens pelo meio mais rápido a um (01)membro da família do tripulante, a fim de lhe fazer companhia até o dia da liberação médica.
CLÁUSULA VIGÉSIMA SÉTIMA - SEGURO EM GRUPO:
As empresas de navegação fluvial e lacustre devem manter as suas expensas, seguro em grupo para os seusempregados fluviários, cobrindo os riscos por morte acidental, natural ou invalidez permanente, decorrente deacidente ou não, sendo que a indenização estipulada no contrato celebrado não poderá ser inferior a quarenta ecinco (45) soldadas-base percebidas pelos tripulantes acima mencionados, vigente no mês do pagamento pelaseguradora, quando de sua morte ou acidente que venha a deixar os mesmos inválidos. Não efetuando oempregador o seguro de que trata esta cláusula ficará obrigado a indenizar os dependentes do tripulante, no casode morte ou invalidez, no valor acima estipulado e devidamente atualizado na forma da lei.
PARÁGRAFO ÚNICO
O empregador terá a opção de não contratar o seguro, neste caso, ficará obrigado a indenizar o tripulante oudependentes, conforme previsto no caput desta cláusula, como se segurado estivesse, não sendo caracterizado odescumprimento convencional, desde que quitado até 30 dias após o prazo do evento MORTE ou INVALIDEZ declarado pelo órgão oficial.
CLÁUSULA VIGÉSIMA - TRASLADO DO CORPO DO TRIPULANTE:
O empregador ficará obrigado a transladar o corpo do tripulante falecido em viagem, para a cidade onde residir suafamília à época do falecimento.
</t>
        </r>
        <r>
          <rPr>
            <sz val="9"/>
            <color indexed="81"/>
            <rFont val="Segoe UI"/>
            <family val="2"/>
          </rPr>
          <t xml:space="preserve">
</t>
        </r>
      </text>
    </comment>
    <comment ref="F69" authorId="0" shapeId="0" xr:uid="{D91D0D16-2316-42C5-AA3C-425C0F604E4D}">
      <text>
        <r>
          <rPr>
            <b/>
            <sz val="9"/>
            <color indexed="81"/>
            <rFont val="Segoe UI"/>
            <family val="2"/>
          </rPr>
          <t>- MÓDULO 2 – ENCARGOS E BENEFÍCIOS ANUAIS, MENSAIS E DIÁRIOS;
- Submódulo 2.3 – Benefícios Mensais e Diários
- Alínea 2.3.D.
- Instrução Normativa SEGES/MPDG nº 5/2017
CONVENÇÃO COLETIVA DE TRABALHO 2023/2025
NÚMERO DE REGISTRO NO MTE: PA001062/2023</t>
        </r>
        <r>
          <rPr>
            <sz val="9"/>
            <color indexed="81"/>
            <rFont val="Segoe UI"/>
            <family val="2"/>
          </rPr>
          <t xml:space="preserve">
</t>
        </r>
      </text>
    </comment>
    <comment ref="F71" authorId="0" shapeId="0" xr:uid="{7AB83641-D449-4FBE-8F0E-AB896B8B92CA}">
      <text>
        <r>
          <rPr>
            <b/>
            <sz val="9"/>
            <color indexed="81"/>
            <rFont val="Segoe UI"/>
            <family val="2"/>
          </rPr>
          <t>Dos demais auxílios (Outros):
À critério da licitante, os valores referentes aos seguintes auxílios poderão ser adicionados na célula F70.
Os auxílios são aqueles compostos na CONVENÇÃO COLETIVA DE TRABALHO 2023/2025 registrada no Ministério do Trabalho e Emprego sob o número: PA001062/2023
CLÁUSULA VIGÉSIMA PRIMEIRA - AUXÍLIO REGRESSO:
- OUTROS AUXÍLIOS
Os tripulantes, quando contratados por viagem, terão direito, além da soldada correspondente, passagem deregresso ao seu domicílio de origem, hospedagem e ajuda de custo de 70% (setenta por cento) sobre aremuneração percebida, salvo se dispensados por justa causa, ou manifestarem expressamente vontade depermanecer no porto e/ou localidade onde se encontrarem.
CLÁUSULA VIGÉSIMA SEGUNDA:
- AUXÍLIO POR SINISTRO A BORDO
Na hipótese de sinistro a bordo devidamente comprovado através de inquérito pela autoridade naval que resulte na perda total de objetos de uso pessoal e uniforme do tripulante, ser-lhe-á assegurada uma indenização por tal perda,correspondente a 08 (oito) soldadas-base, ficando-lhe assegurada ainda, a indenização de qualquer outro objeto, desde que declarado antes da viagem, junto ao escritório do Armador, salvo quando o tripulante for culpado pelosinistro.</t>
        </r>
        <r>
          <rPr>
            <sz val="9"/>
            <color indexed="81"/>
            <rFont val="Segoe UI"/>
            <family val="2"/>
          </rPr>
          <t xml:space="preserve">
</t>
        </r>
      </text>
    </comment>
    <comment ref="A80" authorId="0" shapeId="0" xr:uid="{EEBC0CE2-F973-4998-9A31-CD1184ABFE1E}">
      <text>
        <r>
          <rPr>
            <b/>
            <sz val="9"/>
            <color indexed="81"/>
            <rFont val="Segoe UI"/>
            <family val="2"/>
          </rPr>
          <t>OBSERVAÇÃO
Ao fim do primeiro ano do contrato, o custo com 30 dias de aviso prévio indenizado, previsto na Alínea 3.A, já terá sido completamente pago pela Administração contratante. Assim sendo, após a primeira prorrogação, deverão ser retirados os custos referentes aos percentuais iniciais da planilha de custos e formação de preços, podendo, nessa ocasião, ser incluídos os índices correspondentes a 3/30 ou 1/10 (10%) desse percentual, ou seja, 0,029%, para serviços de vigilância e 0,026% para serviços de limpeza e conservação a cada ano de prorrogação, não cumulativos, isto é, no caso de um segundo ano de prorrogação, o percentual será o mesmo do primeiro ano (10%)
e não 20% do percentual previsto inicialmente na planilha. 
O mesmo ocorre com o aviso prévio trabalhado, previsto na Alínea 3.D, que poderá ter a inclusão, a partir do 1º
ano de prorrogação, dos percentuais de 0,116% e de 0,103%, para serviços de vigilância e de limpeza e conservação, respectivamente. Pelas mesmas razões acima descritas, as Alíneas 3.B e 3.E também sofrem a redução para 1/10 a partir da prorrogação, da mesma forma que as Alíneas 3.A e 3.D, por serem considerados custos não renováveis.</t>
        </r>
        <r>
          <rPr>
            <sz val="9"/>
            <color indexed="81"/>
            <rFont val="Segoe UI"/>
            <family val="2"/>
          </rPr>
          <t xml:space="preserve">
</t>
        </r>
      </text>
    </comment>
    <comment ref="F82" authorId="2" shapeId="0" xr:uid="{057C19E6-AF99-4766-86BC-1D5050634EE5}">
      <text>
        <r>
          <rPr>
            <b/>
            <sz val="9"/>
            <color indexed="81"/>
            <rFont val="Times New Roman"/>
            <family val="1"/>
          </rPr>
          <t xml:space="preserve">Base de Cálculo do Aviso Prévio Indenizado:
- Referencial Técnico de Custos – Audin-MPU – 4ª Edição:
- MÓDULO 3 - PROVISÃO PARA RESCISÃO:
- Alínea 3.A. - Aviso Prévio Indenizado
- Base de Cálculo: Módulo 1 + Submódulo 2.1 
- Percentual: 0,26% 
Decorrido um ano de vigência do contrato, caso haja prorrogação, o percentual informado na célula E82 deverá ser reduzido para 10% do valor original da proposta. Referencial Técnico de Custos – Audin-MPU – 3ª Edição - página 48.
PORTARIA/MTP Nº 671, DE 8 DE NOVEMBRO DE 2021
https://www.in.gov.br/en/web/dou/-/portaria-359094139
Art. 37. As verbas rescisórias e o aviso prévio serão calculados com base na média dos valores recebidos pelo empregado no curso do contrato de trabalho intermitente.
Art. 38. No contrato de trabalho intermitente, o empregador efetuará o recolhimento das contribuições previdenciárias próprias e do empregado e o depósito do FGTS com base nos valores pagos no período mensal e fornecerá ao empregado comprovante do cumprimento dessas obrigações.
</t>
        </r>
      </text>
    </comment>
    <comment ref="F83" authorId="0" shapeId="0" xr:uid="{DFC2AD56-7168-4ECF-887F-D3E633C4A0BE}">
      <text>
        <r>
          <rPr>
            <b/>
            <sz val="9"/>
            <color indexed="81"/>
            <rFont val="Segoe UI"/>
            <family val="2"/>
          </rPr>
          <t>Base de Cálculo da Incidência do FGTS sobre o Aviso Prévio Indenizado:
- Referencial Técnico de Custos – Audin-MPU – 4ª Edição:
- MÓDULO 3 - PROVISÃO PARA RESCISÃO:
- Alínea 3.B. - Incidência do FGTS sobre o Aviso Prévio Indenizado
- Base de Cálculo: Módulo 1 + Submódulo 2.1
- Percentual: 0,02% 
- Fonte: Referencial Técnico de Custos – Audin-MPU – 4ª Edição.</t>
        </r>
      </text>
    </comment>
    <comment ref="F84" authorId="0" shapeId="0" xr:uid="{7E733BC4-955F-4170-80AB-E3275027D5D6}">
      <text>
        <r>
          <rPr>
            <b/>
            <sz val="9"/>
            <color indexed="81"/>
            <rFont val="Segoe UI"/>
            <family val="2"/>
          </rPr>
          <t>Base de Cálculo da Multa do FGTS do Aviso Prévio Indenizado:
- Referencial Técnico de Custos – Audin-MPU – 4ª Edição:
- MÓDULO 3 - PROVISÃO PARA RESCISÃO:
- Alínea 3.C. - Multa do FGTS do Aviso Prévio Indenizado
- Base de Cálculo: Módulo 1 + Submódulo 2.1
- Percentual: 0,10% 
- Fonte: Referencial Técnico de Custos – Audin-MPU – 4ª Edição.</t>
        </r>
        <r>
          <rPr>
            <sz val="9"/>
            <color indexed="81"/>
            <rFont val="Segoe UI"/>
            <family val="2"/>
          </rPr>
          <t xml:space="preserve">
</t>
        </r>
      </text>
    </comment>
    <comment ref="E85" authorId="0" shapeId="0" xr:uid="{E6108CE5-5E88-4658-BD9F-E77305AB906A}">
      <text>
        <r>
          <rPr>
            <b/>
            <sz val="9"/>
            <color indexed="81"/>
            <rFont val="Segoe UI"/>
            <family val="2"/>
          </rPr>
          <t>[(56,24%) x 94,45% x (7/30) /12] x 100 = 1,03%</t>
        </r>
        <r>
          <rPr>
            <sz val="9"/>
            <color indexed="81"/>
            <rFont val="Segoe UI"/>
            <family val="2"/>
          </rPr>
          <t xml:space="preserve">
</t>
        </r>
      </text>
    </comment>
    <comment ref="F85" authorId="2" shapeId="0" xr:uid="{09F1E620-D60C-48DF-8BFB-C092521504BD}">
      <text>
        <r>
          <rPr>
            <b/>
            <sz val="10"/>
            <color indexed="81"/>
            <rFont val="Times New Roman"/>
            <family val="1"/>
          </rPr>
          <t xml:space="preserve">Base de Cálculo do Aviso Prévio Trabalhado:
- Referencial Técnico de Custos – Audin-MPU – 4ª Edição:
- MÓDULO 3 - PROVISÃO PARA RESCISÃO:
- Alínea 3.D. - Aviso Prévio Trabalhado
- Base de Cálculo: Módulo 1 + Submódulo 2.1 
- Percentual: 1,03%
- Decorrido um ano de vigência do contrato, caso haja prorrogação, o percentual informado na célula E83 deverá ser reduzido para 10% do valor original da proposta. Referencial Técnico de Custos – Audin-MPU – 4ª Edição.
</t>
        </r>
      </text>
    </comment>
    <comment ref="F86" authorId="0" shapeId="0" xr:uid="{25E387A0-0525-4799-8048-3941BD32CA5E}">
      <text>
        <r>
          <rPr>
            <b/>
            <sz val="9"/>
            <color indexed="81"/>
            <rFont val="Segoe UI"/>
            <family val="2"/>
          </rPr>
          <t>Base de Cálculo da Incidência dos Encargos do Submódulo 2.2 sobre o Aviso Prévio Trabalhado:
- Referencial Técnico de Custos – Audin-MPU – 4ª Edição:
- MÓDULO 3 - PROVISÃO PARA RESCISÃO:
- Alínea 3.E. - Incidência dos Encargos do Submódulo 2.2 sobre o Aviso Prévio Trabalhado
- Base de Cálculo: Módulo 1 + Submódulo 2.1
- Percentual: 0,38%
- Decorrido um ano de vigência do contrato, caso haja prorrogação, o percentual informado na célula E83 deverá ser reduzido para 10% do valor original da proposta. Referencial Técnico de Custos – Audin-MPU – 4ª Edição.</t>
        </r>
        <r>
          <rPr>
            <sz val="9"/>
            <color indexed="81"/>
            <rFont val="Segoe UI"/>
            <family val="2"/>
          </rPr>
          <t xml:space="preserve">
</t>
        </r>
      </text>
    </comment>
    <comment ref="F87" authorId="2" shapeId="0" xr:uid="{28DE2A45-EFB8-4857-91E9-EECA0C20B8BA}">
      <text>
        <r>
          <rPr>
            <b/>
            <sz val="9"/>
            <color indexed="81"/>
            <rFont val="Times New Roman"/>
            <family val="1"/>
          </rPr>
          <t xml:space="preserve">Base de Cálculo da Multa do FGTS do Aviso Prévio Trabalhado:
- Referencial Técnico de Custos – Audin-MPU – 4ª Edição:
- MÓDULO 3 - PROVISÃO PARA RESCISÃO:
- Alínea 3.F. - Multa do FGTS do Aviso Prévio Trabalhado 
- Base de Cálculo: Módulo 1 + Submódulo 2.1
- Percentual: 1,70%
Decorrido um ano de vigência do contrato, caso haja prorrogação, o percentual informado na célula E84 deverá ser reduzido para 10% do valor original da proposta. Referencial Técnico de Custos – Audin-MPU – 4ª Edição.
</t>
        </r>
      </text>
    </comment>
    <comment ref="E93" authorId="2" shapeId="0" xr:uid="{3E33F516-6E30-4277-ADD0-52CC74376A94}">
      <text>
        <r>
          <rPr>
            <b/>
            <sz val="9"/>
            <color indexed="81"/>
            <rFont val="Times New Roman"/>
            <family val="1"/>
          </rPr>
          <t>Percentual retirado, 8,33%, conforme orientação emanada pela autoridade competente. 
Para outros detalhes, vide documento juntado ao processo de contratação.</t>
        </r>
        <r>
          <rPr>
            <sz val="10"/>
            <rFont val="Arial"/>
            <family val="2"/>
          </rPr>
          <t xml:space="preserve">
</t>
        </r>
      </text>
    </comment>
    <comment ref="F93" authorId="2" shapeId="0" xr:uid="{0159A710-B7B7-4979-ACCE-0EFBFD8782DF}">
      <text>
        <r>
          <rPr>
            <b/>
            <sz val="9"/>
            <color indexed="81"/>
            <rFont val="Times New Roman"/>
            <family val="1"/>
          </rPr>
          <t>Base de Cálculo do Substituto na Cobertura de Férias:
- Referencial Técnico de Custos – Audin-MPU – 4ª Edição:
- MÓDULO 4 - CUSTO DE REPOSIÇÃO DO PROFISSIONAL AUSENTE:
- Submódulo 4.1 – Substituto nas Ausências Legais
- Alínea 4.1.A. - Substituto na cobertura de férias
- Base de Cálculo: Módulo 1 + Módulo 2
- Percentual: 8,33%
- Não haverá substituto por ocasião das férias.</t>
        </r>
        <r>
          <rPr>
            <b/>
            <sz val="9"/>
            <color rgb="FF000000"/>
            <rFont val="Times New Roman"/>
            <family val="1"/>
            <charset val="1"/>
          </rPr>
          <t xml:space="preserve">
</t>
        </r>
      </text>
    </comment>
    <comment ref="F94" authorId="2" shapeId="0" xr:uid="{8FB006E1-43BE-4086-B2BE-6511C31366DB}">
      <text>
        <r>
          <rPr>
            <b/>
            <sz val="9"/>
            <color indexed="81"/>
            <rFont val="Times New Roman"/>
            <family val="1"/>
          </rPr>
          <t xml:space="preserve">Base de Cálculo do Substituto na Cobertura de Ausências Legais:
- Referencial Técnico de Custos – Audin-MPU – 4ª Edição:
- MÓDULO 4 - CUSTO DE REPOSIÇÃO DO PROFISSIONAL AUSENTE:
- Submódulo 4.1 – Substituto nas Ausências Legais
- Alínea 4.1.B. - Substituto na cobertura de ausências legais
- Base de Cálculo: Módulo 1 + Módulo 2
- Percentual: 2,22%
</t>
        </r>
        <r>
          <rPr>
            <sz val="10"/>
            <rFont val="Arial"/>
            <family val="2"/>
          </rPr>
          <t xml:space="preserve">
</t>
        </r>
      </text>
    </comment>
    <comment ref="F95" authorId="2" shapeId="0" xr:uid="{70AC587D-E7A4-46E9-BE75-AB0D900582C0}">
      <text>
        <r>
          <rPr>
            <b/>
            <sz val="9"/>
            <color indexed="81"/>
            <rFont val="Times New Roman"/>
            <family val="1"/>
          </rPr>
          <t xml:space="preserve">Base de Cálculo do Substituto na Cobertura de Licença-paternidade:
- Referencial Técnico de Custos – Audin-MPU – 4ª Edição:
- MÓDULO 4 - CUSTO DE REPOSIÇÃO DO PROFISSIONAL AUSENTE:
- Submódulo 4.1 – Substituto nas Ausências Legais
- Alínea 4.1.C. - Substituto na Cobertura de Licença-paternidade
- Base de Cálculo: Módulo 1 + Módulo 2
- Percentual: 0,04%
</t>
        </r>
      </text>
    </comment>
    <comment ref="F96" authorId="2" shapeId="0" xr:uid="{6D1394AC-4FD2-430E-9F56-2C036ED261AF}">
      <text>
        <r>
          <rPr>
            <b/>
            <sz val="9"/>
            <color indexed="81"/>
            <rFont val="Times New Roman"/>
            <family val="1"/>
          </rPr>
          <t xml:space="preserve">Base de Cálculo do Substituto na Cobertura de Ausência por Acidente de Trabalho:
- Referencial Técnico de Custos – Audin-MPU – 4ª Edição:
- MÓDULO 4 - CUSTO DE REPOSIÇÃO DO PROFISSIONAL AUSENTE:
- Submódulo 4.1 – Substituto nas Ausências Legais
- Alínea 4.1.D.  - Substituto na Cobertura de Ausência por Acidente de Trabalho
- Base de Cálculo: Módulo 1 + Módulo 2
- Percentual: 0,02%
</t>
        </r>
      </text>
    </comment>
    <comment ref="F97" authorId="2" shapeId="0" xr:uid="{C1911175-5731-42E3-BED9-585D026077DE}">
      <text>
        <r>
          <rPr>
            <b/>
            <sz val="9"/>
            <color indexed="81"/>
            <rFont val="Times New Roman"/>
            <family val="1"/>
          </rPr>
          <t xml:space="preserve">Base de Cálculo do Substituto na Cobertura de Afastamento Maternidade:
- Referencial Técnico de Custos – Audin-MPU – 4ª Edição:
- MÓDULO 4 - CUSTO DE REPOSIÇÃO DO PROFISSIONAL AUSENTE:
- Submódulo 4.1 – Substituto nas Ausências Legais
- Alínea 4.1.E.  - Substituto na Cobertura de Afastamento Maternidade
- Base de Cálculo: Módulo 1 + Módulo 2
- Percentual: 0,14%
</t>
        </r>
        <r>
          <rPr>
            <sz val="10"/>
            <rFont val="Arial"/>
            <family val="2"/>
          </rPr>
          <t xml:space="preserve">
</t>
        </r>
      </text>
    </comment>
    <comment ref="F98" authorId="2" shapeId="0" xr:uid="{417EF219-F4EE-464A-9D01-2EC047B235A0}">
      <text>
        <r>
          <rPr>
            <b/>
            <sz val="9"/>
            <color indexed="81"/>
            <rFont val="Times New Roman"/>
            <family val="1"/>
          </rPr>
          <t>Base de Cálculo do Substituto na Cobertura de Outras Ausências:
- Referencial Técnico de Custos – Audin-MPU – 4ª Edição:
- MÓDULO 4 - CUSTO DE REPOSIÇÃO DO PROFISSIONAL AUSENTE:
- Submódulo 4.1 – Substituto nas Ausências Legais
- Alínea 4.1.F.  - Substituto na Cobertura de Outras Ausências
- Base de Cálculo: Módulo 1 + Módulo 2 
- Obs.: Poderão ser inseridos outros custos referentes a ausências legais, caso estejam previstos em instrumento coletivo de trabalho ou, ainda, por força de lei.</t>
        </r>
      </text>
    </comment>
    <comment ref="F102" authorId="2" shapeId="0" xr:uid="{0775E019-A893-4B80-A037-E99C8B336A48}">
      <text>
        <r>
          <rPr>
            <b/>
            <sz val="9"/>
            <color indexed="81"/>
            <rFont val="Times New Roman"/>
            <family val="1"/>
          </rPr>
          <t xml:space="preserve">Não haverá Substituição na cobertura de Intervalo para repouso ou alimentação.
Base de Cálculo do Substituto na Intrajornada:
- Referencial Técnico de Custos – Audin-MPU – 4ª Edição:
- MÓDULO 4 - CUSTO DE REPOSIÇÃO DO PROFISSIONAL AUSENTE:
- Submódulo 4.2 – Substituto na Intrajornada
- Alínea 4.2.A.  - Substituto na Cobertura de Intervalo para Repouso ou Alimentação, página 66
- Base de Cálculo: Módulo 1 + Módulo 2
Metodologia de Cálculo:
Caso a convenção coletiva não disponha de forma diversa, para calcular o valor da remuneração por hora trabalhada, consideram-se os valores totais da remuneração do empregado constante do Módulo 1, somados ao Módulo 2 – Encargos e Benefícios Anuais, Mensais e Diários (desconsiderando-se o 2.4. Intervalo Intrajornada) e, ainda, ao Módulo 3 – Provisão para Rescisão. Desse total, divide-se o valor por 220 horas.
Além disso, conforme previsto no caput do art. 71 c/c o inc. III do art. 611-A da CLT, considera-se o intervalo mínimo de 60 minutos para repouso ou alimentação, salvo disposição prevista em convenção ou acordo coletivo de trabalho, respeitado o limite mínimo de 30 minutos, dividindo-se por 60 minutos, com acréscimo de, no mínimo, 50% da remuneração da hora normal de trabalho.
</t>
        </r>
        <r>
          <rPr>
            <sz val="10"/>
            <rFont val="Arial"/>
            <family val="2"/>
          </rPr>
          <t xml:space="preserve">
</t>
        </r>
      </text>
    </comment>
    <comment ref="F111" authorId="1" shapeId="0" xr:uid="{C1034AF8-4AA0-4B1C-8F1E-444C33535910}">
      <text>
        <r>
          <rPr>
            <b/>
            <sz val="9"/>
            <color theme="1"/>
            <rFont val="Times New Roman"/>
            <family val="1"/>
          </rPr>
          <t>Referencial Técnico de Custos - 4ª Versão - AUDIN-MPU
MÓDULO 5 – INSUMOS DIVERSOS
5.A. - Uniformes
Apura-se o valor mensal do insumo multiplicando-se o preço unitário de cada conjunto de uniformes, após realizada ampla pesquisa de mercado, adotando-se preferencialmente o menor preço encontrado, pelo número de peças fornecidas por
empregado em um ano e dividindo-se o resultado pelo número de meses no ano, com vistas a estimar o custo mensal dos uniformes por empregado.
Vide subplanilha de Uniformes - Unif</t>
        </r>
      </text>
    </comment>
    <comment ref="F112" authorId="0" shapeId="0" xr:uid="{53C4B415-CBAA-4026-B8D6-EBEBA7DCD4F1}">
      <text>
        <r>
          <rPr>
            <b/>
            <sz val="9"/>
            <color indexed="81"/>
            <rFont val="Segoe UI"/>
            <family val="2"/>
          </rPr>
          <t>Apuração da base de cálculo dos Materiais
Referencial Técnico de Custos - 4ª Versão - AUDIN-MPU
MÓDULO 5 – INSUMOS DIVERSOS
5.B. - Materiais
Apura-se o valor mensal do insumo multiplicando-se o preço unitário de cada conjunto de uniformes, após realizada ampla pesquisa de mercado, adotando-se preferencialmente o menor preço encontrado, pelo número de peças fornecidas por empregado em um ano e dividindo-se o resultado pelo número de meses no ano, com vistas a estimar o custo mensal dos uniformes por empregado.
Optou-se, nesta licitação, por não incluir a reposição de material periodicamente, pois não há registro de consumo e por ser a opção que trará mais economia ao órgão.</t>
        </r>
        <r>
          <rPr>
            <sz val="9"/>
            <color indexed="81"/>
            <rFont val="Segoe UI"/>
            <family val="2"/>
          </rPr>
          <t xml:space="preserve">
</t>
        </r>
      </text>
    </comment>
    <comment ref="F113" authorId="0" shapeId="0" xr:uid="{69D2590D-BB6F-403C-B350-9B09329309E2}">
      <text>
        <r>
          <rPr>
            <b/>
            <sz val="9"/>
            <color indexed="81"/>
            <rFont val="Times New Roman"/>
            <family val="1"/>
          </rPr>
          <t xml:space="preserve">Referencial Técnico de Custos - 4ª Versão - AUDIN-MPU
MÓDULO 5 – INSUMOS DIVERSOS
5.C. - Equipamentos
Havendo necessidade do emprego de equipamentos, máquinas ou automóveis diretamente na execução dos serviços, o projeto básico ou termo de referência os indicará expressamente, com respectivos quantitativos. O custo de equipamentos deverá ser obtido após realizada ampla pesquisa de mercado, adotando-se preferencialmente o menor preço encontrado.
Diferentemente dos materiais, os equipamentos não são cotados na planilha pelo valor de aquisição integral, mas apenas o valor equivalente à taxa de depreciação anual. Se essa metodologia não for utilizada, a Administração pode cometer o erro de remunerar o contratado, ao fim de um ano, pelo custo de aquisição integral do equipamento, o que seria danoso para o erário, conforme discutido pelo TCU no âmbito do Acórdão TCU nº 966/2010 – Plenário.
Para identificação de vida útil e valor residual necessários para cálculo das taxas de depreciação, recomenda-se a utilização do Manual SIAFI, Macrofunção 020330, item 6. Mas isto não impossibilita a unidade de utilizar outro parâmetro idôneo, tal qual a IN RFB nº 1.700/2017, uma vez que a empresa contratada se vincula a esta para definição de sua depreciação.
Primeiramente, estima-se o custo anual de cada equipamento, após realização de pesquisa de mercado, multiplicando-se esse valor pela taxa anual de depreciação e, ainda, pelo número de meses no ano. Esse resultado deverá ser dividido pelo número total de empregados, para ser calculado o custo dos equipamentos por empregado.
- Manual SIAFI – Macrofunção 020330. DEPRECIAÇÃO, AMORTIZAÇÃO E EXAUSTÃO NA ADM. DIR. UNIÃO, AUT. E FUND.
(...)
6 - ESTIMATIVA DE VIDA ÚTIL ECONÔMICA E TAXA DE DEPRECIAÇÃO
(...)
6.3 Tabela de vida útil e valor residual para cada conta contábil.
- Instrução Normativa RFB nº 1.700, de 14/03/2017 (art. 124, §1º, e Anexo III – Taxas Anuais de Depreciação)
(...)
Art. 124. A taxa anual de depreciação será fixada em função do prazo durante o qual se possa esperar a utilização econômica do bem pelo contribuinte, na produção dos seus rendimentos. § 1º O prazo de vida útil admissível é aquele estabelecido no Anexo III desta Instrução Normativa, ficando assegurado ao contribuinte o direito de computar a quota efetivamente adequada às condições de depreciação dos seus bens, desde que faça prova dessa adequação quando adotar taxa diferente.
Vide subplanilha de Material Permanente - MP.
</t>
        </r>
        <r>
          <rPr>
            <sz val="9"/>
            <color indexed="81"/>
            <rFont val="Segoe UI"/>
            <family val="2"/>
          </rPr>
          <t xml:space="preserve">
</t>
        </r>
      </text>
    </comment>
    <comment ref="F114" authorId="0" shapeId="0" xr:uid="{69807098-A7F6-490E-A58B-31E4507817BB}">
      <text>
        <r>
          <rPr>
            <b/>
            <sz val="9"/>
            <color indexed="81"/>
            <rFont val="Segoe UI"/>
            <family val="2"/>
          </rPr>
          <t>O valor do equipament de proteção da subplanilha EPIs foi divida à razão da metade, em razão da demanda anual do posto.</t>
        </r>
        <r>
          <rPr>
            <sz val="9"/>
            <color indexed="81"/>
            <rFont val="Segoe UI"/>
            <family val="2"/>
          </rPr>
          <t xml:space="preserve">
</t>
        </r>
      </text>
    </comment>
    <comment ref="A117" authorId="1" shapeId="0" xr:uid="{097D9AE6-2623-49ED-A06C-EB2CECD3C295}">
      <text>
        <r>
          <rPr>
            <sz val="11"/>
            <color theme="1"/>
            <rFont val="Aptos Narrow"/>
            <family val="2"/>
            <scheme val="minor"/>
          </rPr>
          <t xml:space="preserve">O Módulo 6 – Custos Indiretos, Tributos e Lucro –, conforme o Anexo VII-D da Instrução Normativa SEGES/MPDG nº 5/2017, é composto por 3 (três) Alíneas, discriminadas nas rubricas a seguir:
6.A. Custos Indireto;
6.B. Lucro;
6.C. Tributos.
</t>
        </r>
      </text>
    </comment>
    <comment ref="F119" authorId="2" shapeId="0" xr:uid="{0AA096AB-FAD8-4E0C-8657-377E4EA78213}">
      <text>
        <r>
          <rPr>
            <b/>
            <sz val="9"/>
            <color indexed="81"/>
            <rFont val="Times New Roman"/>
            <family val="1"/>
          </rPr>
          <t>Base de Cálculo dos Custos Indiretos:
- Referencial Técnico de Custos – Audin-MPU – 4ª Edição:
- MÓDULO 6 – CUSTOS INDIRETOS, TRIBUTOS E LUCRO:
Percentuais
- 4,73% 
- Fórmula: [(Módulo 1 + Módulo 2 + Módulo 3 + Módulo 4 + Módulo 5) x Custos Indiretos %]</t>
        </r>
      </text>
    </comment>
    <comment ref="F120" authorId="2" shapeId="0" xr:uid="{F9F9BEC7-5D87-41ED-8082-97282C88B258}">
      <text>
        <r>
          <rPr>
            <b/>
            <sz val="9"/>
            <rFont val="Times New Roman"/>
            <family val="1"/>
            <charset val="1"/>
          </rPr>
          <t xml:space="preserve">Base de Cálculo do Lucro:
- Referencial Técnico de Custos – Audin-MPU – 4ª Edição:
- MÓDULO 6 – CUSTOS INDIRETOS, TRIBUTOS E LUCRO:
Percentuais:
- 5,57% 
- Fórmula: [(Módulo 1 + Módulo 2 + Módulo 3 + Módulo 4 + Módulo 5 + Custos Indiretos) x Lucro %]
</t>
        </r>
      </text>
    </comment>
    <comment ref="F122" authorId="2" shapeId="0" xr:uid="{BDE2C927-41FA-4E4F-8A15-FCEB96319329}">
      <text>
        <r>
          <rPr>
            <b/>
            <sz val="9"/>
            <rFont val="Times New Roman"/>
            <family val="1"/>
          </rPr>
          <t>- Fórmula: Base de Cálculo do PIS – Lucro Presumido:
- Referencial Técnico de Custos – Audin-MPU – 4ª Edição:
- MÓDULO 6 – CUSTOS INDIRETOS, TRIBUTOS E LUCRO:
Percentual: 0,65% 
- Fórmula: [</t>
        </r>
        <r>
          <rPr>
            <b/>
            <u/>
            <sz val="9"/>
            <color rgb="FF000000"/>
            <rFont val="Times New Roman"/>
            <family val="1"/>
          </rPr>
          <t xml:space="preserve">(Somatório dos Módulos 1 + 2 + 3 + 4 + 5 + Custos Indiretos + Lucro) x % do tributo]
</t>
        </r>
        <r>
          <rPr>
            <b/>
            <sz val="9"/>
            <color rgb="FF000000"/>
            <rFont val="Times New Roman"/>
            <family val="1"/>
          </rPr>
          <t xml:space="preserve">                                                               (1 - Σ % dos tributos)
</t>
        </r>
      </text>
    </comment>
    <comment ref="F123" authorId="2" shapeId="0" xr:uid="{2CBEABB0-1EB3-4360-BF5E-4C6694E9B71E}">
      <text>
        <r>
          <rPr>
            <b/>
            <sz val="9"/>
            <rFont val="Times New Roman"/>
            <family val="1"/>
          </rPr>
          <t>- Fórmula: Base de Cálculo da Cofins – Lucro Presumido:
- Referencial Técnico de Custos – Audin-MPU – 4ª Edição:
- MÓDULO 6 – CUSTOS INDIRETOS, TRIBUTOS E LUCRO:
Percentual: 3,00% 
- Fórmula: [</t>
        </r>
        <r>
          <rPr>
            <b/>
            <u/>
            <sz val="9"/>
            <color rgb="FF000000"/>
            <rFont val="Times New Roman"/>
            <family val="1"/>
          </rPr>
          <t xml:space="preserve">(Somatório dos Módulos 1 + 2 + 3 + 4 + 5 + Custos Indiretos + Lucro) x % do tributo]
</t>
        </r>
        <r>
          <rPr>
            <b/>
            <sz val="9"/>
            <color rgb="FF000000"/>
            <rFont val="Times New Roman"/>
            <family val="1"/>
          </rPr>
          <t xml:space="preserve">                                                                 (1 - Σ % dos tributos)</t>
        </r>
        <r>
          <rPr>
            <b/>
            <sz val="9"/>
            <color rgb="FF000000"/>
            <rFont val="Times New Roman"/>
            <family val="1"/>
            <charset val="1"/>
          </rPr>
          <t xml:space="preserve">
</t>
        </r>
      </text>
    </comment>
    <comment ref="F124" authorId="2" shapeId="0" xr:uid="{51429FD7-B346-4AD6-84E4-1709E72F4E83}">
      <text>
        <r>
          <rPr>
            <b/>
            <sz val="9"/>
            <rFont val="Times New Roman"/>
            <family val="1"/>
          </rPr>
          <t>- Fórmula: Base de Cálculo do ISS – Lucro Presumido:
- Referencial Técnico de Custos – Audin-MPU – 4ª Edição:
- MÓDULO 6 – CUSTOS INDIRETOS, TRIBUTOS E LUCRO:
Percentual: 5,00% 
- Fórmula: [</t>
        </r>
        <r>
          <rPr>
            <b/>
            <u/>
            <sz val="9"/>
            <color rgb="FF000000"/>
            <rFont val="Times New Roman"/>
            <family val="1"/>
          </rPr>
          <t xml:space="preserve">(Somatório dos Módulos 1 + 2 + 3 + 4 + 5 + Custos Indiretos + Lucro) x % do tributo]
</t>
        </r>
        <r>
          <rPr>
            <b/>
            <sz val="9"/>
            <color rgb="FF000000"/>
            <rFont val="Times New Roman"/>
            <family val="1"/>
          </rPr>
          <t xml:space="preserve">                                                                (1 - Σ % dos tributos)</t>
        </r>
        <r>
          <rPr>
            <b/>
            <sz val="9"/>
            <color rgb="FF000000"/>
            <rFont val="Times New Roman"/>
            <family val="1"/>
            <charset val="1"/>
          </rPr>
          <t xml:space="preserve">
</t>
        </r>
      </text>
    </comment>
  </commentList>
</comments>
</file>

<file path=xl/sharedStrings.xml><?xml version="1.0" encoding="utf-8"?>
<sst xmlns="http://schemas.openxmlformats.org/spreadsheetml/2006/main" count="720" uniqueCount="348">
  <si>
    <t>NOMENCLATURA DAS PLANILHAS</t>
  </si>
  <si>
    <t>Item</t>
  </si>
  <si>
    <t>Sigla</t>
  </si>
  <si>
    <t>Nome</t>
  </si>
  <si>
    <t>NP</t>
  </si>
  <si>
    <t>Nomenclatura das Planilhas</t>
  </si>
  <si>
    <t>PC</t>
  </si>
  <si>
    <t>Postos a Serem contratados</t>
  </si>
  <si>
    <t>Unif</t>
  </si>
  <si>
    <t>Uniformes</t>
  </si>
  <si>
    <t>Materiais + MLPH</t>
  </si>
  <si>
    <t>Materiais Diversos e Materais de Limpeza e Produtos de Higienização</t>
  </si>
  <si>
    <t xml:space="preserve">EPIs </t>
  </si>
  <si>
    <t>Equipamentos de Proteção e Segurança</t>
  </si>
  <si>
    <t>Marinheiro</t>
  </si>
  <si>
    <t>Planilha do Posto de Marinheiro</t>
  </si>
  <si>
    <t>Piloto de Embarcações</t>
  </si>
  <si>
    <t>Planilha do Piloto de Embarcações</t>
  </si>
  <si>
    <t>Proposta de Preços</t>
  </si>
  <si>
    <t>Proposta de Preços do Piloto de Embarcações e do Marinheiro - Inclusão de gastos</t>
  </si>
  <si>
    <t>POSTOS</t>
  </si>
  <si>
    <t>CONVENÇÃO COLETIVA / SALÁRIO NORMATIVO VIGENTE PARA CONTRATAÇÃO E/OU REPACTUAÇÃO DE PREÇOS</t>
  </si>
  <si>
    <t>Postos</t>
  </si>
  <si>
    <t>Piloto Fluvial</t>
  </si>
  <si>
    <t>Convenção Coletiva</t>
  </si>
  <si>
    <t>2024/2025</t>
  </si>
  <si>
    <t>UNIFORMES, TECIDOS E AVIAMENTOS – 3.3.90.30.23</t>
  </si>
  <si>
    <t>Descrição</t>
  </si>
  <si>
    <t>Quantidade de Pessoas por Posto</t>
  </si>
  <si>
    <t>Quantidade de Peças por Pessoa</t>
  </si>
  <si>
    <t>Periodicidade ao Ano Para Reposição</t>
  </si>
  <si>
    <t>Preço Unitário da Peça</t>
  </si>
  <si>
    <t>Preço Unitário Anual por Pessoa das Peças</t>
  </si>
  <si>
    <t>Preço Total do Posto das Peças</t>
  </si>
  <si>
    <t>Valor Mensal Para Compor Custo da Planilha de Formação de Preços</t>
  </si>
  <si>
    <t xml:space="preserve">Camisetas de manga longa com proteção Ultra Violeta, tecido de malha fria, na cor azul escura, com a logomarca da empresa </t>
  </si>
  <si>
    <t>Calças compridas, de tecido Rip Stop ou com  resistência equivalente, com bolsos laterais, cor caqui;</t>
  </si>
  <si>
    <t>Boné, tipo pescador com proteção no pescoço contra a ação de raios solares, de brim ou tecido com resistência equivalente, recomendáveis cores claras;</t>
  </si>
  <si>
    <t xml:space="preserve">Bota de segurança de cano curto, impermeável,  solado emborrachado, cor preta; 
</t>
  </si>
  <si>
    <t xml:space="preserve">Par de meias brancas longas, em algodão; </t>
  </si>
  <si>
    <t>Total</t>
  </si>
  <si>
    <t>MATERIAIS DIVERSOS – 3.3.90.30 – SOB DEMANDA</t>
  </si>
  <si>
    <t>Objeto</t>
  </si>
  <si>
    <t>Unidade de Medida</t>
  </si>
  <si>
    <t>Valor Nominal por unidade</t>
  </si>
  <si>
    <t>LDI</t>
  </si>
  <si>
    <t>T</t>
  </si>
  <si>
    <t>Valor Máximo  Aceito por Unidade</t>
  </si>
  <si>
    <t>Quantidade Anual</t>
  </si>
  <si>
    <t>Valor Total Estimado Anual</t>
  </si>
  <si>
    <t>Água Sanitária</t>
  </si>
  <si>
    <t xml:space="preserve">Frasco de 01 litro </t>
  </si>
  <si>
    <t>Álcool 70%</t>
  </si>
  <si>
    <t xml:space="preserve">Aromatizador/Desodorizador - Aerossol </t>
  </si>
  <si>
    <t>Frasco de 432 ml</t>
  </si>
  <si>
    <t>Cera Líquida Náutica</t>
  </si>
  <si>
    <t>Frasco de 500 ml</t>
  </si>
  <si>
    <t>Desinfetante</t>
  </si>
  <si>
    <t>Frasco de 01 litro</t>
  </si>
  <si>
    <t>Flanelas</t>
  </si>
  <si>
    <t>Unidade</t>
  </si>
  <si>
    <t>Graxa Para Rolamentos</t>
  </si>
  <si>
    <t>Pote de 500g</t>
  </si>
  <si>
    <t>Hidratante Para Estofado De Couro Náutico</t>
  </si>
  <si>
    <t>Frasco 250 ml</t>
  </si>
  <si>
    <t>Limpa Vidros</t>
  </si>
  <si>
    <t>Líquido Lubrificante E Desingripante - Wd40</t>
  </si>
  <si>
    <t>Frasco de 300 ml</t>
  </si>
  <si>
    <t>Pano De Chão</t>
  </si>
  <si>
    <t>Papel Toalha/Cozinha</t>
  </si>
  <si>
    <t>Pacote com 02 unidade</t>
  </si>
  <si>
    <t>Pedra Antimofo</t>
  </si>
  <si>
    <t>Caixa com 02 unidades</t>
  </si>
  <si>
    <t>Removedor De Manchas</t>
  </si>
  <si>
    <t>Sabão Em Pó</t>
  </si>
  <si>
    <t xml:space="preserve">Pacote 400 g </t>
  </si>
  <si>
    <t>Sabão Líquido Neutro</t>
  </si>
  <si>
    <t>Frasco 500 ml</t>
  </si>
  <si>
    <t>Saco De Lixo - 100 Litros</t>
  </si>
  <si>
    <t xml:space="preserve">Pacote com 05 unidades </t>
  </si>
  <si>
    <t>Vassoura</t>
  </si>
  <si>
    <t>Lucro e Despesas Indiretas - LDI</t>
  </si>
  <si>
    <t>Custos Indiretos</t>
  </si>
  <si>
    <t xml:space="preserve">Lucro </t>
  </si>
  <si>
    <t>PIS</t>
  </si>
  <si>
    <t>COFIN</t>
  </si>
  <si>
    <t>ISS</t>
  </si>
  <si>
    <t>EQUIPAMENTOS DE PROTEÇÃO E SEGURANÇA - AQUAVIÁRIOS - ENCARGO DA CONTRATADA</t>
  </si>
  <si>
    <t>Descrição dos Materiais</t>
  </si>
  <si>
    <t>Valor Unitário</t>
  </si>
  <si>
    <t>Valor Anual</t>
  </si>
  <si>
    <t>Luvas</t>
  </si>
  <si>
    <t>Par</t>
  </si>
  <si>
    <t>Capa Para Chuva Em Pvc</t>
  </si>
  <si>
    <t>Colete Salva Vidas</t>
  </si>
  <si>
    <t>Protetor Auricular/Abafador de Ruído</t>
  </si>
  <si>
    <t>Protetor Labial</t>
  </si>
  <si>
    <t>Protetor Solar</t>
  </si>
  <si>
    <t>Sapatilha Náutica</t>
  </si>
  <si>
    <t>Valor Mensal Aproximado</t>
  </si>
  <si>
    <t>Valor Mensal Aproximado Considerando o Rateio por 2 pessoas</t>
  </si>
  <si>
    <t>DADOS REFERENTES À LICITAÇÃO</t>
  </si>
  <si>
    <t>Nº do Processo</t>
  </si>
  <si>
    <t>PGEA:  1.23.000.000176/2024-97</t>
  </si>
  <si>
    <t>Modalidade de Licitação nº NN/AAAA</t>
  </si>
  <si>
    <t>Pregão Eletrônico nº NN/AAAA</t>
  </si>
  <si>
    <t>DISCRIMINAÇÃO DOS SERVIÇOS</t>
  </si>
  <si>
    <t>Data de apresentação da proposta (dia/mês/ano)</t>
  </si>
  <si>
    <t>DD/MM/AAAA</t>
  </si>
  <si>
    <t>Município/UF de Execução dos Serviços</t>
  </si>
  <si>
    <t>Marabá</t>
  </si>
  <si>
    <t>Ano Acordo, Convenção ou Sentença Normativa em Dissídio Coletivo</t>
  </si>
  <si>
    <r>
      <t xml:space="preserve">CONVENÇÃO COLETIVA DE TRABALHO: </t>
    </r>
    <r>
      <rPr>
        <b/>
        <sz val="8"/>
        <color rgb="FF00B0F0"/>
        <rFont val="Times New Roman"/>
        <family val="1"/>
      </rPr>
      <t xml:space="preserve"> 2023/2025</t>
    </r>
  </si>
  <si>
    <r>
      <t xml:space="preserve">NÚMERO DE REGISTRO NO MTE:  </t>
    </r>
    <r>
      <rPr>
        <b/>
        <sz val="8"/>
        <color rgb="FF00B0F0"/>
        <rFont val="Times New Roman"/>
        <family val="1"/>
      </rPr>
      <t>PA001062/2023</t>
    </r>
  </si>
  <si>
    <r>
      <t xml:space="preserve">DATA DE REGISTRO NO MTE:  </t>
    </r>
    <r>
      <rPr>
        <b/>
        <sz val="8"/>
        <color rgb="FF00B0F0"/>
        <rFont val="Times New Roman"/>
        <family val="1"/>
      </rPr>
      <t>18/12/2023</t>
    </r>
  </si>
  <si>
    <t>Nº de meses de execução contratual</t>
  </si>
  <si>
    <t>IDENTIFICAÇÃO DO SERVIÇO</t>
  </si>
  <si>
    <t>Unidade de medida</t>
  </si>
  <si>
    <t>Posto</t>
  </si>
  <si>
    <t>Quantidade total a contratar (em função da unidade de medida):</t>
  </si>
  <si>
    <t>MÃO DE OBRA VINCULADA À EXECUÇÃO CONTRATUAL</t>
  </si>
  <si>
    <t>Dados para composição dos custos referentes a mão de obra</t>
  </si>
  <si>
    <t>Tipo de Serviço (mesmo serviço com características distintas)</t>
  </si>
  <si>
    <t>Marinheiro Fluvial Regional do Convés</t>
  </si>
  <si>
    <t>Classificação Brasileira de Ocupações (CBO)</t>
  </si>
  <si>
    <t>CBO 7827-05 - Marinheiro de convés (marítimo e fluviário)</t>
  </si>
  <si>
    <t>Salário Normativo da Categoria Profissional</t>
  </si>
  <si>
    <t>Categoria Profissional (vinculada à execução contratual)</t>
  </si>
  <si>
    <t>Navegação Fluvial e Lacustre</t>
  </si>
  <si>
    <t>Data-Base da Categoria (dia/mês/ano)</t>
  </si>
  <si>
    <t>1º/09/2023</t>
  </si>
  <si>
    <t>PLANILHA DE CUSTOS E FORMAÇÃO DE PREÇOS</t>
  </si>
  <si>
    <t>1 – DA COMPOSIÇÃO DA REMUNERAÇÃO</t>
  </si>
  <si>
    <t>Discriminação</t>
  </si>
  <si>
    <t>Valor R$</t>
  </si>
  <si>
    <t>A</t>
  </si>
  <si>
    <t>Soldada Base</t>
  </si>
  <si>
    <t>B</t>
  </si>
  <si>
    <t>Gratificação de Função</t>
  </si>
  <si>
    <t>C</t>
  </si>
  <si>
    <t>Insalubridade</t>
  </si>
  <si>
    <t>D</t>
  </si>
  <si>
    <t>Horas Extras</t>
  </si>
  <si>
    <t>E</t>
  </si>
  <si>
    <t>Adicional Noturno</t>
  </si>
  <si>
    <t>F</t>
  </si>
  <si>
    <t>Repouso Remunerado</t>
  </si>
  <si>
    <t>G</t>
  </si>
  <si>
    <t>Outros</t>
  </si>
  <si>
    <t>Total Módulo 1</t>
  </si>
  <si>
    <t>MÓDULO 2 – DOS ENCARGOS E BENEFÍCIOS ANUAIS, MENSAIS E DIÁRIOS</t>
  </si>
  <si>
    <t> Submódulo 2.1 - 13º Salário, Férias e Adicional de Férias</t>
  </si>
  <si>
    <t>2.1.</t>
  </si>
  <si>
    <t>13º Salário e Adicional de Férias</t>
  </si>
  <si>
    <t>Percentual (%)</t>
  </si>
  <si>
    <t>13º Salário</t>
  </si>
  <si>
    <t>Adicional de Férias</t>
  </si>
  <si>
    <t>Subtotal Módulo 2.1</t>
  </si>
  <si>
    <t>Submódulo 2.2 - Encargos Previdenciários (GPS), Fundo de Garantia por Tempo de Serviço (FGTS) e outras contribuições</t>
  </si>
  <si>
    <t>2.2.</t>
  </si>
  <si>
    <t>Encargos Previdenciários (GPS), FGTS e outras contribuições</t>
  </si>
  <si>
    <t>INSS</t>
  </si>
  <si>
    <t>Salário Educação</t>
  </si>
  <si>
    <t>Riscos Ambientais do Trabalho</t>
  </si>
  <si>
    <t>SESC</t>
  </si>
  <si>
    <t>SENAC</t>
  </si>
  <si>
    <t>SEBRAE</t>
  </si>
  <si>
    <t>INCRA</t>
  </si>
  <si>
    <t>H</t>
  </si>
  <si>
    <t>FGTS</t>
  </si>
  <si>
    <t>Subtotal Módulo 2.2</t>
  </si>
  <si>
    <t>Submódulo 2.3 - Benefícios Mensais e Diários</t>
  </si>
  <si>
    <t>2.3.</t>
  </si>
  <si>
    <t>Benefícios Mensais e Diários</t>
  </si>
  <si>
    <t>Valor da Passagem</t>
  </si>
  <si>
    <t>Quantidade de Passagens</t>
  </si>
  <si>
    <t>Quantidade de Dias</t>
  </si>
  <si>
    <t>Desconto</t>
  </si>
  <si>
    <t>Seguro de vida em Grupo, Auxílio Morte/Funeral e Assistência Médica e Familiar (Auxílio Doença/Invalidez)</t>
  </si>
  <si>
    <t>Auxílio plano de assistência e cuidado pessoal</t>
  </si>
  <si>
    <t>Outros (especificar)</t>
  </si>
  <si>
    <t>Subtotal Módulo 2.3</t>
  </si>
  <si>
    <t>Quadro-Resumo do Módulo 2 - Encargos e Benefícios anuais, mensais e diários</t>
  </si>
  <si>
    <t>2.</t>
  </si>
  <si>
    <t>Encargos e Benefícios Anuais, Mensais e Diários</t>
  </si>
  <si>
    <t>13º Salário, Férias e Adicional de Férias</t>
  </si>
  <si>
    <t>Encargos Previdenciários (GPS), Fundo de Garantia por Tempo de Serviço (FGTS) e outras contribuições</t>
  </si>
  <si>
    <t>Total Módulo 2</t>
  </si>
  <si>
    <t>MÓDULO 3 – DA PROVISÃO PARA RESCISÃO</t>
  </si>
  <si>
    <t>Provisão para Rescisão</t>
  </si>
  <si>
    <t>Aviso Prévio Indenizado</t>
  </si>
  <si>
    <t>Aviso Prévio Trabalhado</t>
  </si>
  <si>
    <t>Total Módulo 3</t>
  </si>
  <si>
    <t>MÓDULO 4 – DO CUSTO DE REPOSIÇÃO DO PROFISSIONAL AUSENTE</t>
  </si>
  <si>
    <t>Submódulo 4.1 – Substituto nas Ausências Legais</t>
  </si>
  <si>
    <t>4.1</t>
  </si>
  <si>
    <t>Substituto nas Ausências Legais</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</si>
  <si>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</si>
  <si>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</si>
  <si>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</si>
  <si>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</si>
  <si>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</si>
  <si>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Outras ausências (especificar)</t>
  </si>
  <si>
    <t>Subtotal Módulo 4.1</t>
  </si>
  <si>
    <t>Submódulo 4.2 - Substituto na Intrajornada</t>
  </si>
  <si>
    <t>4.2</t>
  </si>
  <si>
    <t>Substituto na Intrajornada </t>
  </si>
  <si>
    <t>Substituto na cobertura de Intervalo para repouso ou alimentação</t>
  </si>
  <si>
    <t>%</t>
  </si>
  <si>
    <t>Quadro-Resumo do Módulo 4 - Custo de Reposição do Profissional Ausente</t>
  </si>
  <si>
    <t>4.</t>
  </si>
  <si>
    <t>Custo de Reposição do Profissional Ausente</t>
  </si>
  <si>
    <t>Total Módulo 4</t>
  </si>
  <si>
    <t>MÓDULO 5 – DOS INSUMOS DIVERSOS</t>
  </si>
  <si>
    <t>Insumos Diversos</t>
  </si>
  <si>
    <t>Materiais</t>
  </si>
  <si>
    <t>Equipamentos</t>
  </si>
  <si>
    <t>Outros (Especificar)</t>
  </si>
  <si>
    <t>Total Módulo 5</t>
  </si>
  <si>
    <t>MÓDULO 6 – CUSTOS INDIRETOS, TRIBUTOS E LUCROS</t>
  </si>
  <si>
    <t>Custo Indireto e Lucro</t>
  </si>
  <si>
    <t>Custo Indireto</t>
  </si>
  <si>
    <t>Lucro</t>
  </si>
  <si>
    <t>Tributos</t>
  </si>
  <si>
    <t>Cofins</t>
  </si>
  <si>
    <t>Total Módulo 6</t>
  </si>
  <si>
    <t>QUADRO-RESUMO DO CUSTO POR EMPREGADO</t>
  </si>
  <si>
    <t>Da Soma dos Módulos</t>
  </si>
  <si>
    <t>Módulo 1 – Da Composição da Remuneração</t>
  </si>
  <si>
    <t>Módulo 2 – Dos Encargos e Benefícios Anuais, Mensais e Diários</t>
  </si>
  <si>
    <t>Módulo 3 – Da Provisão Para Rescisão</t>
  </si>
  <si>
    <t>Módulo 4 – Do Custo de Reposição do Profissional Ausente</t>
  </si>
  <si>
    <t>Módulo 5 – Dos Insumos Diversos</t>
  </si>
  <si>
    <t>Subtotal (A + B + C + D + E)</t>
  </si>
  <si>
    <t>Módulo 6 – Custos Indiretos, Tributos e Lucro</t>
  </si>
  <si>
    <t>Valor Total por Empregado</t>
  </si>
  <si>
    <t>QUADRO-RESUMO DO VALOR MENSAL DOS SERVIÇOS</t>
  </si>
  <si>
    <t>Tipo de Serviço</t>
  </si>
  <si>
    <t>Valor Mensal por Pessoa</t>
  </si>
  <si>
    <t>Quantidade de meses</t>
  </si>
  <si>
    <t>Valor total mensal</t>
  </si>
  <si>
    <t>Valor Total Anual</t>
  </si>
  <si>
    <t>QUADRO-RESUMO DO VALOR DA DIÁRIA DOS SERVIÇOS</t>
  </si>
  <si>
    <t>Quantidade de Diárias Por Mês</t>
  </si>
  <si>
    <t>Valor da Diária</t>
  </si>
  <si>
    <t>Valor Anual Aproximado</t>
  </si>
  <si>
    <t>CBO 3412-30 - Piloto fluvial</t>
  </si>
  <si>
    <t>Ao Senhor Pregoeiro da Procuradoria da República - Pará/Castanhal</t>
  </si>
  <si>
    <t xml:space="preserve">Proposta de Preços </t>
  </si>
  <si>
    <t>Pregão Eletrônico nº XX/2024</t>
  </si>
  <si>
    <t>Processo nº 1.23.000.000176/2024-97</t>
  </si>
  <si>
    <t>O(A) representante da Sociedade Empresária XXX LTDA vem submeter à apreciação de Vossa Senhoria proposta de preços de prestação de serviços de mão de obra terceirizada residente dos seguintes postos:  Auxiliar Administrativo II e Servente de Limpeza c/c Copeiragem, com fornecimento de insumos necessários à execução dos serviços de limpeza e conservação, bem como de insumos, sob demanda de gás liquefeito de petróleo, gêneros de alimentação, material de copa e cozinha e material permanente.</t>
  </si>
  <si>
    <t>Dados da Sociedade Proponente</t>
  </si>
  <si>
    <t>Razão Social do Licitante</t>
  </si>
  <si>
    <t>CNPJ</t>
  </si>
  <si>
    <t>Endereço</t>
  </si>
  <si>
    <t>E-mails</t>
  </si>
  <si>
    <t>Telefones:</t>
  </si>
  <si>
    <t>Domicílio Bancário</t>
  </si>
  <si>
    <t xml:space="preserve">Nome do Banco: </t>
  </si>
  <si>
    <t>Número do Banco:</t>
  </si>
  <si>
    <t>Número da Agência:</t>
  </si>
  <si>
    <t>Número da Conta Credora:</t>
  </si>
  <si>
    <t>Dados do(a) Administrador(a)/Representante Legal</t>
  </si>
  <si>
    <t>Nome:</t>
  </si>
  <si>
    <t>Identificação:</t>
  </si>
  <si>
    <t>Número do RG:</t>
  </si>
  <si>
    <t>Órgão Expedidor do RG:</t>
  </si>
  <si>
    <t>Número do CPF:</t>
  </si>
  <si>
    <t>O(A) Administrador(a) Representante Legal Declara que:</t>
  </si>
  <si>
    <t>A validade da proposta é de 90 (NOVENTA) dias, contados a partir do dia subsequente ao da efetiva abertura das propostas;</t>
  </si>
  <si>
    <t>Tem condições para realizar os serviços objeto do Termo de Referência;</t>
  </si>
  <si>
    <t>Recebeu todos os elementos e informações para cumprimento das obrigações objeto da licitação e aceita expressamente as condições dispostas no ato convocatório;</t>
  </si>
  <si>
    <t>Sob as penas da Lei, nesta data, não existem fatos impeditivos à participação desta empresa no presente processo licitatório, estando ciente integralmente dos requisitos de Habilitação do Pregão Eletrônico nº XX/2024, conforme Edital;</t>
  </si>
  <si>
    <t>Nos valores constantes desta proposta estão incluídas todas as despesas relativas ao objeto, tais como: mão de obra, transporte/deslocamento, seguros, taxas, tributos, incidências fiscais e contribuições de qualquer natureza ou espécie, encargos sociais, salários, custos diretos e indiretos e quaisquer outros encargos, quando necessários à perfeita execução do objeto da licitação;</t>
  </si>
  <si>
    <t>Para fins do disposto no art. 7º, inciso XXXIII, da Constituição Federal de 1988, esta empresa não emprega menor de 18 (dezoito) anos em trabalho noturno, perigoso ou insalubre, bem como menor de 16 (dezesseis) anos, salvo na condição de aprendiz, a partir de 14 (quatorze) anos;</t>
  </si>
  <si>
    <t>A presente proposta foi elaborada de maneira independente por esta empresa, e que o conteúdo desta proposta não foi, no todo ou em parte, direta ou indiretamente, informado, discutido com ou recebido de qualquer outro participante potencial ou de fato do Pregão Eletrônico nº XX/2024, por qualquer meio ou por qualquer pessoa;</t>
  </si>
  <si>
    <t xml:space="preserve">Que a Convenção Coletiva de Trabalho adotada para elaboração das Planilhas foram as de número: </t>
  </si>
  <si>
    <t>I</t>
  </si>
  <si>
    <t>Que o regime tributário da proponente é com base no lucro XXXX</t>
  </si>
  <si>
    <t>J</t>
  </si>
  <si>
    <t>Caso nos seja adjudicado o objeto da licitação, comprometemos a assinar o contrato no prazo determinado do Edital e para esse fim fornecemos todos os dados da empresa e de seu representante;</t>
  </si>
  <si>
    <t>K</t>
  </si>
  <si>
    <t>Tem pleno conhecimento das condições e peculiaridades inerentes à natureza do trabalho, que assume total responsabilidade por este fato e que não utilizará deste para quaisquer questionamentos futuros que ensejam avenças técnicas ou financeiras com este (órgão ou entidade)</t>
  </si>
  <si>
    <t>L</t>
  </si>
  <si>
    <t>Que se submete inteiramente a todas as condições do Edital;</t>
  </si>
  <si>
    <t>I - Do Preço da Mão de Obra Terceirizada - Inclusos os Valores dos Uniformes e EPIs</t>
  </si>
  <si>
    <t>Profissionais Residentes</t>
  </si>
  <si>
    <t>Quantidade de Diárias por Mês</t>
  </si>
  <si>
    <t>MARINHEIRO</t>
  </si>
  <si>
    <t>PILOTO DE EMBARCAÇÕES</t>
  </si>
  <si>
    <t>TOTAL ITEM I</t>
  </si>
  <si>
    <t>II - Do Preço dos Materiais - Sob Demanda</t>
  </si>
  <si>
    <t>Materiais Diversos + Materiais de Limpeza e Produtos de Higienização</t>
  </si>
  <si>
    <t>Valor Mensal</t>
  </si>
  <si>
    <t>Valor</t>
  </si>
  <si>
    <t>PREÇO TOTAL DA PROPOSTA</t>
  </si>
  <si>
    <t>VALOR TOTAL ITEM I + II</t>
  </si>
  <si>
    <t>2026/2027</t>
  </si>
  <si>
    <t>2027/2028</t>
  </si>
  <si>
    <t>2028/2029</t>
  </si>
  <si>
    <t>2029/2030</t>
  </si>
  <si>
    <t>2030/2031</t>
  </si>
  <si>
    <t>2031/2032</t>
  </si>
  <si>
    <t>2032/2033</t>
  </si>
  <si>
    <t>2033/2034</t>
  </si>
  <si>
    <t>2034/2035</t>
  </si>
  <si>
    <t>PERÍODO</t>
  </si>
  <si>
    <t>VALE-ALIMENTAÇÃO</t>
  </si>
  <si>
    <t>VALE-TRANSPORTE</t>
  </si>
  <si>
    <t>Contratação</t>
  </si>
  <si>
    <t>Alteração</t>
  </si>
  <si>
    <t>UNIDADE</t>
  </si>
  <si>
    <t>QUANTIDADE DE DIAS -MARINHEIRO</t>
  </si>
  <si>
    <t>QUANTIDADE DE DIAS - PILOTO DE EMBARCAÇÕES</t>
  </si>
  <si>
    <t>MARABÁ</t>
  </si>
  <si>
    <t>Valor diário do auxílio-alimentação</t>
  </si>
  <si>
    <t>Incidência dos encargos do submódulo 2.2 sobre o Aviso Prévio Trabalhado</t>
  </si>
  <si>
    <t>Multa do FGTS do Aviso Prévio Trabalhado</t>
  </si>
  <si>
    <t>Incidência do FGTS sobre o Aviso Prévio Indenizado</t>
  </si>
  <si>
    <t>Multa do FGTS do Aviso Prévio Indenizado</t>
  </si>
  <si>
    <t>Salários.VA.VT.QteDias.LDI.T</t>
  </si>
  <si>
    <t>Referências de salários - Conforme CCTs + Vale-Alimentação + Vale-Transporte + Quantidade de Dias de VA e VT + LDI + Tributos</t>
  </si>
  <si>
    <t>Tributação Sobre Faturamento - T - Lucro Presumido</t>
  </si>
  <si>
    <t> Submódulo 2.1 - 13º Salário e Adicional de Férias</t>
  </si>
  <si>
    <t>Substituto na Cobertura de Férias</t>
  </si>
  <si>
    <t>Substituto na Cobertura de Ausências Legais</t>
  </si>
  <si>
    <t>Substituto na Cobertura de Licença Paternidade</t>
  </si>
  <si>
    <t>Substituto na Cobertura de Ausência por Acidente de Trabalho</t>
  </si>
  <si>
    <t>Substituto na Cobertura de Afastamento Maternidade</t>
  </si>
  <si>
    <t>Substituto na Cobertura de Outras Ausências (Especificar)</t>
  </si>
  <si>
    <t>Substituto na Cobertura de Intervalo para Repouso ou Alimentação</t>
  </si>
  <si>
    <t>Equipamentos - Depreciação de Material Permanente não reversível ao patrimônio Público</t>
  </si>
  <si>
    <t>Outros - Equipamaento de Proteção e Segurança - EPI</t>
  </si>
  <si>
    <t>PREGÃO ELETRÔNICO Nº 90002/2025 – UASG 200075</t>
  </si>
  <si>
    <t>ANEXO II – MODELO DE PROPOSTA E PLANILHA DE CUSTOS E FORMAÇÃO DO VALOR ESTIMADO</t>
  </si>
  <si>
    <t>A PROPOSTA DA LICITANTE DEVE ATENDER TODAS AS CONDIÇÕES EXIGIDAS NO EDITAL, CONFORME MODELO DESTA PLANILHA.</t>
  </si>
  <si>
    <t>A PLANILHA DE CUSTOS E FORMAÇÃO DE PREÇOS (EM FORMATO EDITÁVEL) DEVE SER ENCAMINHADA COMO ANEXO DE PROPOSTA PELO PORTAL DE COMPRAS, SE FOR O CASO, AJUSTADA PELO LICITANTE APÓS SOLICITAÇÃO DO PREGOEIRO PARA ADEQUAÇÃO AO LANCE FINAL / VALOR NEGOCIADO OU SANEAMENTO.</t>
  </si>
  <si>
    <t xml:space="preserve">O LICITANTE DEVE INFORMAR QUAL ACORDO, CONVENÇÃO COLETIVA OU SENTENÇA NORMATIVA QUE BASEIA SUA PROPOSTA DE PREÇOS, INDICANDO OS SINDICATOS. </t>
  </si>
  <si>
    <t>PARA O LICITANTE COMPOR A SUA PLANILHA, BASTA PREENCHER AS CÉLULAS AMARELAS. DESSA FORMA, AS ABAS DA PLANILHA SÃO ATUALIZADAS AUTOMATICAMENTE.</t>
  </si>
  <si>
    <t>O CABEÇALHO ENCONTRA-SE DESBLOQUEADO PARA POSSIBILITAR IDENTIFICAÇÃO/PERSONALIZAÇÃO PELO LICITANTE.</t>
  </si>
  <si>
    <t xml:space="preserve">PARA FORMAÇÃO DO VALOR ESTIMADO DA CONTRATAÇÃO, A ADMINISTRAÇÃO TOMOU POR BASE AS CONVENÇÕES COLETIVAS DE TRABALHO CITADAS NO TERMO DE REFERÊNCIA </t>
  </si>
  <si>
    <t>A METODOLOGIA DE  CÁLCULO DA PLANILHA DO VALOR ESTIMADO DA CONTRATAÇÃO SEGUIU ORIENTAÇÕES DA IN SEGES/MP N° 5/2017 E DO REFERENCIAL TÉCNICO DA AUDIN/MPU DISPONÍVEL EM: https://auditoria.mpu.mp.br/orientacao/terceirizacao/referencial-tecnico-de-custos</t>
  </si>
  <si>
    <t>NAS PLANILHAS DE FORMAÇÃO DE PREÇOS PARA A MÃO DE OBRA  A EMPRESA APRESENTARÁ DE FORMA DETALHADA OS ITENS QUE COMPÕEM O "VALOR MENSAL" PARA CADA POSTO</t>
  </si>
  <si>
    <t>Marinheiro - Unisex</t>
  </si>
  <si>
    <t>Piloto de Embarcação - Unisex</t>
  </si>
  <si>
    <t xml:space="preserve">Valor Anual </t>
  </si>
  <si>
    <t xml:space="preserve">Valor Mensal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</si>
</sst>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8" formatCode="&quot;R$&quot;\ #,##0.00;[Red]\-&quot;R$&quot;\ #,##0.00"/>
    <numFmt numFmtId="164" formatCode="&quot;R$&quot;\ #,##0.00"/>
    <numFmt numFmtId="165" formatCode="&quot;R$ &quot;#,##0.00;[Red]&quot;-R$ &quot;#,##0.00"/>
    <numFmt numFmtId="166" formatCode="&quot;R$ &quot;#,##0.00"/>
    <numFmt numFmtId="167" formatCode="#,##0.00\ ;\-#,##0.00\ "/>
    <numFmt numFmtId="168" formatCode="[$R$-416]\ #,##0.00;[Red]\-[$R$-416]\ #,##0.00"/>
  </numFmts>
  <fonts count="35" x14ac:knownFonts="1">
    <font>
      <sz val="11"/>
      <color theme="1"/>
      <name val="Aptos Narrow"/>
      <family val="2"/>
      <scheme val="minor"/>
    </font>
    <font>
      <u/>
      <sz val="11"/>
      <color theme="10"/>
      <name val="Aptos Narrow"/>
      <family val="2"/>
      <scheme val="minor"/>
    </font>
    <font>
      <b/>
      <sz val="11"/>
      <color theme="1"/>
      <name val="Aptos Narrow"/>
      <family val="2"/>
      <scheme val="minor"/>
    </font>
    <font>
      <sz val="9"/>
      <color indexed="81"/>
      <name val="Segoe UI"/>
      <family val="2"/>
    </font>
    <font>
      <b/>
      <sz val="8"/>
      <color indexed="81"/>
      <name val="Segoe UI"/>
      <family val="2"/>
    </font>
    <font>
      <b/>
      <sz val="9"/>
      <color indexed="81"/>
      <name val="Segoe UI"/>
      <family val="2"/>
    </font>
    <font>
      <sz val="11"/>
      <color theme="1"/>
      <name val="Times New Roman"/>
      <family val="1"/>
    </font>
    <font>
      <b/>
      <sz val="9"/>
      <color theme="1"/>
      <name val="Times New Roman"/>
      <family val="1"/>
    </font>
    <font>
      <sz val="9"/>
      <color theme="1"/>
      <name val="Times New Roman"/>
      <family val="1"/>
    </font>
    <font>
      <sz val="8"/>
      <color theme="1"/>
      <name val="Times New Roman"/>
      <family val="1"/>
    </font>
    <font>
      <b/>
      <sz val="8"/>
      <color theme="1"/>
      <name val="Times New Roman"/>
      <family val="1"/>
    </font>
    <font>
      <b/>
      <u/>
      <sz val="8"/>
      <color rgb="FF00B0F0"/>
      <name val="Times New Roman"/>
      <family val="1"/>
    </font>
    <font>
      <b/>
      <sz val="8"/>
      <color rgb="FF00B0F0"/>
      <name val="Times New Roman"/>
      <family val="1"/>
    </font>
    <font>
      <u/>
      <sz val="8"/>
      <color rgb="FF00B0F0"/>
      <name val="Times New Roman"/>
      <family val="1"/>
    </font>
    <font>
      <b/>
      <i/>
      <sz val="8"/>
      <color theme="1"/>
      <name val="Times New Roman"/>
      <family val="1"/>
    </font>
    <font>
      <b/>
      <sz val="9"/>
      <color indexed="81"/>
      <name val="Times New Roman"/>
      <family val="1"/>
    </font>
    <font>
      <sz val="10"/>
      <name val="Arial"/>
      <family val="2"/>
    </font>
    <font>
      <b/>
      <sz val="9"/>
      <color indexed="81"/>
      <name val="Arial"/>
      <family val="2"/>
    </font>
    <font>
      <b/>
      <sz val="9"/>
      <name val="Times New Roman"/>
      <family val="1"/>
      <charset val="1"/>
    </font>
    <font>
      <sz val="9"/>
      <color rgb="FF000000"/>
      <name val="Times New Roman"/>
      <family val="1"/>
      <charset val="1"/>
    </font>
    <font>
      <b/>
      <sz val="10"/>
      <color indexed="81"/>
      <name val="Times New Roman"/>
      <family val="1"/>
    </font>
    <font>
      <b/>
      <sz val="9"/>
      <color rgb="FF000000"/>
      <name val="Times New Roman"/>
      <family val="1"/>
      <charset val="1"/>
    </font>
    <font>
      <b/>
      <sz val="9"/>
      <name val="Times New Roman"/>
      <family val="1"/>
    </font>
    <font>
      <b/>
      <u/>
      <sz val="9"/>
      <color rgb="FF000000"/>
      <name val="Times New Roman"/>
      <family val="1"/>
    </font>
    <font>
      <b/>
      <sz val="9"/>
      <color rgb="FF000000"/>
      <name val="Times New Roman"/>
      <family val="1"/>
    </font>
    <font>
      <b/>
      <sz val="8"/>
      <color rgb="FF000000"/>
      <name val="Times New Roman"/>
      <family val="1"/>
    </font>
    <font>
      <sz val="8"/>
      <color rgb="FF000000"/>
      <name val="Times New Roman"/>
      <family val="1"/>
    </font>
    <font>
      <b/>
      <sz val="8"/>
      <name val="Times New Roman"/>
      <family val="1"/>
    </font>
    <font>
      <sz val="8"/>
      <color theme="1"/>
      <name val="Aptos Narrow"/>
      <family val="2"/>
      <scheme val="minor"/>
    </font>
    <font>
      <b/>
      <sz val="8"/>
      <color rgb="FF000000"/>
      <name val="Times New Roman"/>
      <family val="1"/>
      <charset val="1"/>
    </font>
    <font>
      <sz val="8"/>
      <color rgb="FF000000"/>
      <name val="Times New Roman"/>
      <family val="1"/>
      <charset val="1"/>
    </font>
    <font>
      <b/>
      <sz val="9"/>
      <color theme="1"/>
      <name val="Segoe UI"/>
      <family val="2"/>
    </font>
    <font>
      <b/>
      <sz val="14"/>
      <name val="Arial"/>
      <family val="2"/>
    </font>
    <font>
      <b/>
      <sz val="10"/>
      <name val="Arial"/>
      <family val="2"/>
    </font>
    <font>
      <b/>
      <sz val="10"/>
      <color rgb="FFFF0000"/>
      <name val="Arial"/>
      <family val="2"/>
    </font>
  </fonts>
  <fills count="19">
    <fill>
      <patternFill patternType="none"/>
    </fill>
    <fill>
      <patternFill patternType="gray125"/>
    </fill>
    <fill>
      <patternFill patternType="solid">
        <fgColor rgb="FFEEEEEE"/>
        <bgColor indexed="64"/>
      </patternFill>
    </fill>
    <fill>
      <patternFill patternType="solid">
        <fgColor rgb="FFFFFFD7"/>
        <bgColor indexed="64"/>
      </patternFill>
    </fill>
    <fill>
      <patternFill patternType="solid">
        <fgColor rgb="FF729FCF"/>
        <bgColor indexed="64"/>
      </patternFill>
    </fill>
    <fill>
      <patternFill patternType="solid">
        <fgColor theme="4" tint="0.59999389629810485"/>
        <bgColor indexed="64"/>
      </patternFill>
    </fill>
    <fill>
      <patternFill patternType="solid">
        <fgColor theme="5"/>
        <bgColor indexed="64"/>
      </patternFill>
    </fill>
    <fill>
      <patternFill patternType="solid">
        <fgColor theme="5" tint="0.59999389629810485"/>
        <bgColor indexed="64"/>
      </patternFill>
    </fill>
    <fill>
      <patternFill patternType="solid">
        <fgColor theme="0"/>
        <bgColor indexed="64"/>
      </patternFill>
    </fill>
    <fill>
      <patternFill patternType="solid">
        <fgColor rgb="FFFEFFDE"/>
        <bgColor indexed="64"/>
      </patternFill>
    </fill>
    <fill>
      <patternFill patternType="solid">
        <fgColor rgb="FFFFFF00"/>
        <bgColor indexed="64"/>
      </patternFill>
    </fill>
    <fill>
      <patternFill patternType="solid">
        <fgColor rgb="FFF6C7AD"/>
        <bgColor rgb="FFFFDBB6"/>
      </patternFill>
    </fill>
    <fill>
      <patternFill patternType="solid">
        <fgColor rgb="FFFFFFD7"/>
        <bgColor rgb="FFFEFFDE"/>
      </patternFill>
    </fill>
    <fill>
      <patternFill patternType="solid">
        <fgColor rgb="FFFEFFDE"/>
        <bgColor rgb="FFFFFFD7"/>
      </patternFill>
    </fill>
    <fill>
      <patternFill patternType="solid">
        <fgColor rgb="FFD9D9D9"/>
        <bgColor rgb="FFC1E5F5"/>
      </patternFill>
    </fill>
    <fill>
      <patternFill patternType="solid">
        <fgColor rgb="FFC1E5F5"/>
        <bgColor rgb="FFD9D9D9"/>
      </patternFill>
    </fill>
    <fill>
      <patternFill patternType="solid">
        <fgColor rgb="FFE87331"/>
        <bgColor rgb="FFFF8080"/>
      </patternFill>
    </fill>
    <fill>
      <patternFill patternType="solid">
        <fgColor rgb="FFFFFF00"/>
        <bgColor rgb="FFFEFFDE"/>
      </patternFill>
    </fill>
    <fill>
      <patternFill patternType="solid">
        <fgColor rgb="FFFFFF00"/>
        <bgColor rgb="FFFFDBB6"/>
      </patternFill>
    </fill>
  </fills>
  <borders count="25">
    <border>
      <left/>
      <right/>
      <top/>
      <bottom/>
      <diagonal/>
    </border>
    <border>
      <left style="double">
        <color rgb="FF000000"/>
      </left>
      <right style="double">
        <color rgb="FF000000"/>
      </right>
      <top style="double">
        <color rgb="FF000000"/>
      </top>
      <bottom style="double">
        <color rgb="FF000000"/>
      </bottom>
      <diagonal/>
    </border>
    <border>
      <left style="double">
        <color rgb="FF000000"/>
      </left>
      <right/>
      <top style="double">
        <color rgb="FF000000"/>
      </top>
      <bottom/>
      <diagonal/>
    </border>
    <border>
      <left/>
      <right/>
      <top style="double">
        <color rgb="FF000000"/>
      </top>
      <bottom/>
      <diagonal/>
    </border>
    <border>
      <left/>
      <right style="double">
        <color rgb="FF000000"/>
      </right>
      <top style="double">
        <color rgb="FF000000"/>
      </top>
      <bottom/>
      <diagonal/>
    </border>
    <border>
      <left style="double">
        <color rgb="FF000000"/>
      </left>
      <right/>
      <top/>
      <bottom/>
      <diagonal/>
    </border>
    <border>
      <left/>
      <right style="double">
        <color rgb="FF000000"/>
      </right>
      <top/>
      <bottom/>
      <diagonal/>
    </border>
    <border>
      <left style="double">
        <color rgb="FF000000"/>
      </left>
      <right/>
      <top/>
      <bottom style="double">
        <color rgb="FF000000"/>
      </bottom>
      <diagonal/>
    </border>
    <border>
      <left/>
      <right style="double">
        <color rgb="FF000000"/>
      </right>
      <top/>
      <bottom style="double">
        <color rgb="FF000000"/>
      </bottom>
      <diagonal/>
    </border>
    <border>
      <left style="double">
        <color rgb="FF000000"/>
      </left>
      <right/>
      <top style="double">
        <color rgb="FF000000"/>
      </top>
      <bottom style="double">
        <color rgb="FF000000"/>
      </bottom>
      <diagonal/>
    </border>
    <border>
      <left/>
      <right/>
      <top style="double">
        <color rgb="FF000000"/>
      </top>
      <bottom style="double">
        <color rgb="FF000000"/>
      </bottom>
      <diagonal/>
    </border>
    <border>
      <left/>
      <right style="double">
        <color rgb="FF000000"/>
      </right>
      <top style="double">
        <color rgb="FF000000"/>
      </top>
      <bottom style="double">
        <color rgb="FF000000"/>
      </bottom>
      <diagonal/>
    </border>
    <border>
      <left style="double">
        <color rgb="FF000000"/>
      </left>
      <right style="double">
        <color rgb="FF000000"/>
      </right>
      <top style="double">
        <color rgb="FF000000"/>
      </top>
      <bottom/>
      <diagonal/>
    </border>
    <border>
      <left style="double">
        <color rgb="FF000000"/>
      </left>
      <right style="double">
        <color rgb="FF000000"/>
      </right>
      <top/>
      <bottom style="double">
        <color rgb="FF000000"/>
      </bottom>
      <diagonal/>
    </border>
    <border>
      <left style="double">
        <color auto="1"/>
      </left>
      <right style="double">
        <color auto="1"/>
      </right>
      <top style="double">
        <color auto="1"/>
      </top>
      <bottom style="double">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style="double">
        <color rgb="FF000000"/>
      </left>
      <right style="double">
        <color rgb="FF000000"/>
      </right>
      <top/>
      <bottom/>
      <diagonal/>
    </border>
    <border>
      <left style="double">
        <color auto="1"/>
      </left>
      <right/>
      <top style="double">
        <color auto="1"/>
      </top>
      <bottom/>
      <diagonal/>
    </border>
    <border>
      <left/>
      <right style="double">
        <color auto="1"/>
      </right>
      <top style="double">
        <color auto="1"/>
      </top>
      <bottom/>
      <diagonal/>
    </border>
    <border>
      <left style="double">
        <color auto="1"/>
      </left>
      <right style="double">
        <color auto="1"/>
      </right>
      <top style="double">
        <color auto="1"/>
      </top>
      <bottom/>
      <diagonal/>
    </border>
    <border>
      <left style="double">
        <color auto="1"/>
      </left>
      <right/>
      <top style="double">
        <color rgb="FF000000"/>
      </top>
      <bottom style="double">
        <color auto="1"/>
      </bottom>
      <diagonal/>
    </border>
    <border>
      <left/>
      <right/>
      <top style="double">
        <color rgb="FF000000"/>
      </top>
      <bottom style="double">
        <color auto="1"/>
      </bottom>
      <diagonal/>
    </border>
    <border>
      <left/>
      <right style="double">
        <color auto="1"/>
      </right>
      <top style="double">
        <color rgb="FF000000"/>
      </top>
      <bottom style="double">
        <color auto="1"/>
      </bottom>
      <diagonal/>
    </border>
  </borders>
  <cellStyleXfs count="4">
    <xf numFmtId="0" fontId="0" fillId="0" borderId="0"/>
    <xf numFmtId="0" fontId="1" fillId="0" borderId="0" applyNumberFormat="0" applyFill="0" applyBorder="0" applyAlignment="0" applyProtection="0"/>
    <xf numFmtId="0" fontId="1" fillId="0" borderId="0" applyNumberFormat="0" applyFill="0" applyBorder="0" applyAlignment="0" applyProtection="0"/>
    <xf numFmtId="0" fontId="16" fillId="0" borderId="0"/>
  </cellStyleXfs>
  <cellXfs count="264">
    <xf numFmtId="0" fontId="0" fillId="0" borderId="0" xfId="0"/>
    <xf numFmtId="0" fontId="2" fillId="0" borderId="0" xfId="0" applyFont="1"/>
    <xf numFmtId="0" fontId="0" fillId="0" borderId="0" xfId="0" applyAlignment="1">
      <alignment horizontal="center"/>
    </xf>
    <xf numFmtId="0" fontId="0" fillId="0" borderId="0" xfId="0" applyAlignment="1">
      <alignment vertical="center"/>
    </xf>
    <xf numFmtId="0" fontId="6" fillId="0" borderId="0" xfId="0" applyFont="1"/>
    <xf numFmtId="0" fontId="8" fillId="0" borderId="0" xfId="0" applyFont="1"/>
    <xf numFmtId="0" fontId="8" fillId="0" borderId="0" xfId="0" applyFont="1" applyAlignment="1">
      <alignment horizontal="center"/>
    </xf>
    <xf numFmtId="0" fontId="8" fillId="0" borderId="0" xfId="0" applyFont="1" applyAlignment="1">
      <alignment vertical="center"/>
    </xf>
    <xf numFmtId="0" fontId="10" fillId="7" borderId="1" xfId="0" applyFont="1" applyFill="1" applyBorder="1" applyAlignment="1">
      <alignment horizontal="center" vertical="center"/>
    </xf>
    <xf numFmtId="0" fontId="9" fillId="7" borderId="1" xfId="0" applyFont="1" applyFill="1" applyBorder="1" applyAlignment="1">
      <alignment horizontal="center" vertical="center"/>
    </xf>
    <xf numFmtId="0" fontId="10" fillId="3" borderId="1" xfId="0" applyFont="1" applyFill="1" applyBorder="1" applyAlignment="1">
      <alignment horizontal="center" vertical="center"/>
    </xf>
    <xf numFmtId="8" fontId="10" fillId="3" borderId="1" xfId="0" applyNumberFormat="1" applyFont="1" applyFill="1" applyBorder="1" applyAlignment="1">
      <alignment horizontal="center" vertical="center"/>
    </xf>
    <xf numFmtId="8" fontId="10" fillId="7" borderId="1" xfId="0" applyNumberFormat="1" applyFont="1" applyFill="1" applyBorder="1" applyAlignment="1">
      <alignment horizontal="center" vertical="center"/>
    </xf>
    <xf numFmtId="8" fontId="10" fillId="6" borderId="1" xfId="0" applyNumberFormat="1" applyFont="1" applyFill="1" applyBorder="1" applyAlignment="1">
      <alignment horizontal="center" vertical="center"/>
    </xf>
    <xf numFmtId="10" fontId="10" fillId="3" borderId="1" xfId="0" applyNumberFormat="1" applyFont="1" applyFill="1" applyBorder="1" applyAlignment="1">
      <alignment horizontal="center" vertical="center"/>
    </xf>
    <xf numFmtId="10" fontId="10" fillId="7" borderId="1" xfId="0" applyNumberFormat="1" applyFont="1" applyFill="1" applyBorder="1" applyAlignment="1">
      <alignment horizontal="center" vertical="center"/>
    </xf>
    <xf numFmtId="10" fontId="10" fillId="6" borderId="1" xfId="0" applyNumberFormat="1" applyFont="1" applyFill="1" applyBorder="1" applyAlignment="1">
      <alignment horizontal="center" vertical="center"/>
    </xf>
    <xf numFmtId="0" fontId="10" fillId="0" borderId="1" xfId="0" applyFont="1" applyBorder="1" applyAlignment="1">
      <alignment horizontal="center" vertical="center"/>
    </xf>
    <xf numFmtId="0" fontId="9" fillId="9" borderId="1" xfId="0" applyFont="1" applyFill="1" applyBorder="1" applyAlignment="1">
      <alignment horizontal="center" vertical="center"/>
    </xf>
    <xf numFmtId="0" fontId="10" fillId="9" borderId="1" xfId="0" applyFont="1" applyFill="1" applyBorder="1" applyAlignment="1">
      <alignment horizontal="center" vertical="center"/>
    </xf>
    <xf numFmtId="0" fontId="9" fillId="0" borderId="1" xfId="0" applyFont="1" applyBorder="1" applyAlignment="1">
      <alignment horizontal="center" vertical="center"/>
    </xf>
    <xf numFmtId="0" fontId="10" fillId="7" borderId="0" xfId="0" applyFont="1" applyFill="1" applyAlignment="1">
      <alignment horizontal="center" vertical="center" wrapText="1"/>
    </xf>
    <xf numFmtId="0" fontId="10" fillId="7" borderId="1" xfId="0" applyFont="1" applyFill="1" applyBorder="1" applyAlignment="1">
      <alignment horizontal="center" vertical="center" wrapText="1"/>
    </xf>
    <xf numFmtId="0" fontId="10" fillId="3" borderId="1" xfId="0" applyFont="1" applyFill="1" applyBorder="1" applyAlignment="1">
      <alignment horizontal="center" vertical="center" wrapText="1"/>
    </xf>
    <xf numFmtId="8" fontId="10" fillId="3" borderId="1" xfId="0" applyNumberFormat="1" applyFont="1" applyFill="1" applyBorder="1" applyAlignment="1">
      <alignment horizontal="center" vertical="center" wrapText="1"/>
    </xf>
    <xf numFmtId="0" fontId="9" fillId="0" borderId="0" xfId="0" applyFont="1" applyAlignment="1">
      <alignment vertical="center"/>
    </xf>
    <xf numFmtId="164" fontId="10" fillId="3" borderId="1" xfId="0" applyNumberFormat="1" applyFont="1" applyFill="1" applyBorder="1" applyAlignment="1">
      <alignment horizontal="center" vertical="center" wrapText="1"/>
    </xf>
    <xf numFmtId="0" fontId="6" fillId="0" borderId="0" xfId="0" applyFont="1" applyAlignment="1">
      <alignment horizontal="center"/>
    </xf>
    <xf numFmtId="0" fontId="10" fillId="7" borderId="14" xfId="0" applyFont="1" applyFill="1" applyBorder="1" applyAlignment="1">
      <alignment vertical="center" wrapText="1"/>
    </xf>
    <xf numFmtId="0" fontId="10" fillId="7" borderId="14" xfId="0" applyFont="1" applyFill="1" applyBorder="1" applyAlignment="1">
      <alignment horizontal="center" vertical="center" wrapText="1"/>
    </xf>
    <xf numFmtId="8" fontId="10" fillId="7" borderId="14" xfId="0" applyNumberFormat="1" applyFont="1" applyFill="1" applyBorder="1" applyAlignment="1">
      <alignment horizontal="center" vertical="center" wrapText="1"/>
    </xf>
    <xf numFmtId="8" fontId="10" fillId="9" borderId="14" xfId="0" applyNumberFormat="1" applyFont="1" applyFill="1" applyBorder="1" applyAlignment="1">
      <alignment horizontal="center" vertical="center" wrapText="1"/>
    </xf>
    <xf numFmtId="164" fontId="10" fillId="7" borderId="14" xfId="0" applyNumberFormat="1" applyFont="1" applyFill="1" applyBorder="1" applyAlignment="1">
      <alignment horizontal="center" vertical="center" wrapText="1"/>
    </xf>
    <xf numFmtId="1" fontId="10" fillId="7" borderId="14" xfId="0" applyNumberFormat="1" applyFont="1" applyFill="1" applyBorder="1" applyAlignment="1">
      <alignment horizontal="center" vertical="center" wrapText="1"/>
    </xf>
    <xf numFmtId="164" fontId="10" fillId="9" borderId="14" xfId="0" applyNumberFormat="1" applyFont="1" applyFill="1" applyBorder="1" applyAlignment="1">
      <alignment horizontal="center" vertical="center" wrapText="1"/>
    </xf>
    <xf numFmtId="2" fontId="10" fillId="6" borderId="1" xfId="0" applyNumberFormat="1" applyFont="1" applyFill="1" applyBorder="1" applyAlignment="1">
      <alignment horizontal="center" vertical="center"/>
    </xf>
    <xf numFmtId="0" fontId="10" fillId="9" borderId="14" xfId="0" applyFont="1" applyFill="1" applyBorder="1" applyAlignment="1">
      <alignment horizontal="center" vertical="center" wrapText="1"/>
    </xf>
    <xf numFmtId="0" fontId="10" fillId="0" borderId="11" xfId="0" applyFont="1" applyBorder="1" applyAlignment="1">
      <alignment horizontal="center" vertical="center"/>
    </xf>
    <xf numFmtId="164" fontId="25" fillId="0" borderId="14" xfId="0" applyNumberFormat="1" applyFont="1" applyBorder="1" applyAlignment="1">
      <alignment horizontal="center" vertical="center" wrapText="1"/>
    </xf>
    <xf numFmtId="0" fontId="25" fillId="5" borderId="14" xfId="0" applyFont="1" applyFill="1" applyBorder="1" applyAlignment="1">
      <alignment horizontal="center" vertical="center" wrapText="1"/>
    </xf>
    <xf numFmtId="0" fontId="25" fillId="0" borderId="14" xfId="0" applyFont="1" applyBorder="1" applyAlignment="1">
      <alignment horizontal="center" vertical="center" wrapText="1"/>
    </xf>
    <xf numFmtId="0" fontId="10" fillId="0" borderId="1" xfId="0" applyFont="1" applyBorder="1" applyAlignment="1">
      <alignment horizontal="center" vertical="center" wrapText="1"/>
    </xf>
    <xf numFmtId="0" fontId="25" fillId="12" borderId="14" xfId="0" applyFont="1" applyFill="1" applyBorder="1" applyAlignment="1">
      <alignment horizontal="center" vertical="center"/>
    </xf>
    <xf numFmtId="2" fontId="25" fillId="12" borderId="14" xfId="0" applyNumberFormat="1" applyFont="1" applyFill="1" applyBorder="1" applyAlignment="1">
      <alignment horizontal="center" vertical="center"/>
    </xf>
    <xf numFmtId="165" fontId="25" fillId="12" borderId="14" xfId="0" applyNumberFormat="1" applyFont="1" applyFill="1" applyBorder="1" applyAlignment="1">
      <alignment horizontal="center" vertical="center"/>
    </xf>
    <xf numFmtId="0" fontId="25" fillId="11" borderId="14" xfId="0" applyFont="1" applyFill="1" applyBorder="1" applyAlignment="1">
      <alignment horizontal="center" vertical="center"/>
    </xf>
    <xf numFmtId="2" fontId="25" fillId="11" borderId="14" xfId="0" applyNumberFormat="1" applyFont="1" applyFill="1" applyBorder="1" applyAlignment="1">
      <alignment horizontal="center" vertical="center"/>
    </xf>
    <xf numFmtId="165" fontId="25" fillId="11" borderId="14" xfId="0" applyNumberFormat="1" applyFont="1" applyFill="1" applyBorder="1" applyAlignment="1">
      <alignment horizontal="center" vertical="center"/>
    </xf>
    <xf numFmtId="10" fontId="25" fillId="12" borderId="14" xfId="0" applyNumberFormat="1" applyFont="1" applyFill="1" applyBorder="1" applyAlignment="1">
      <alignment horizontal="center" vertical="center"/>
    </xf>
    <xf numFmtId="10" fontId="25" fillId="11" borderId="14" xfId="0" applyNumberFormat="1" applyFont="1" applyFill="1" applyBorder="1" applyAlignment="1">
      <alignment horizontal="center" vertical="center"/>
    </xf>
    <xf numFmtId="0" fontId="25" fillId="13" borderId="14" xfId="0" applyFont="1" applyFill="1" applyBorder="1" applyAlignment="1">
      <alignment horizontal="center" vertical="center"/>
    </xf>
    <xf numFmtId="8" fontId="27" fillId="6" borderId="1" xfId="0" applyNumberFormat="1" applyFont="1" applyFill="1" applyBorder="1" applyAlignment="1">
      <alignment horizontal="center" vertical="center"/>
    </xf>
    <xf numFmtId="164" fontId="25" fillId="11" borderId="14" xfId="0" applyNumberFormat="1" applyFont="1" applyFill="1" applyBorder="1" applyAlignment="1">
      <alignment horizontal="center" vertical="center"/>
    </xf>
    <xf numFmtId="164" fontId="25" fillId="12" borderId="14" xfId="0" applyNumberFormat="1" applyFont="1" applyFill="1" applyBorder="1" applyAlignment="1">
      <alignment horizontal="center" vertical="center"/>
    </xf>
    <xf numFmtId="0" fontId="26" fillId="12" borderId="14" xfId="0" applyFont="1" applyFill="1" applyBorder="1" applyAlignment="1">
      <alignment horizontal="center" vertical="center"/>
    </xf>
    <xf numFmtId="0" fontId="26" fillId="11" borderId="14" xfId="0" applyFont="1" applyFill="1" applyBorder="1" applyAlignment="1">
      <alignment horizontal="center" vertical="center"/>
    </xf>
    <xf numFmtId="0" fontId="26" fillId="13" borderId="14" xfId="0" applyFont="1" applyFill="1" applyBorder="1" applyAlignment="1">
      <alignment horizontal="center" vertical="center"/>
    </xf>
    <xf numFmtId="165" fontId="25" fillId="13" borderId="14" xfId="0" applyNumberFormat="1" applyFont="1" applyFill="1" applyBorder="1" applyAlignment="1">
      <alignment horizontal="center" vertical="center"/>
    </xf>
    <xf numFmtId="164" fontId="10" fillId="3" borderId="1" xfId="0" applyNumberFormat="1" applyFont="1" applyFill="1" applyBorder="1" applyAlignment="1">
      <alignment horizontal="center" vertical="center"/>
    </xf>
    <xf numFmtId="0" fontId="10" fillId="0" borderId="6" xfId="0" applyFont="1" applyBorder="1" applyAlignment="1">
      <alignment horizontal="center" vertical="center"/>
    </xf>
    <xf numFmtId="164" fontId="10" fillId="0" borderId="1" xfId="0" applyNumberFormat="1" applyFont="1" applyBorder="1" applyAlignment="1">
      <alignment horizontal="center" vertical="center" wrapText="1"/>
    </xf>
    <xf numFmtId="0" fontId="28" fillId="0" borderId="0" xfId="0" applyFont="1"/>
    <xf numFmtId="0" fontId="10" fillId="5" borderId="14" xfId="0" applyFont="1" applyFill="1" applyBorder="1" applyAlignment="1">
      <alignment horizontal="center" vertical="center" wrapText="1"/>
    </xf>
    <xf numFmtId="0" fontId="10" fillId="0" borderId="14" xfId="0" applyFont="1" applyBorder="1" applyAlignment="1">
      <alignment horizontal="center" vertical="center" wrapText="1"/>
    </xf>
    <xf numFmtId="0" fontId="9" fillId="0" borderId="1" xfId="0" applyFont="1" applyBorder="1" applyAlignment="1">
      <alignment vertical="center" wrapText="1"/>
    </xf>
    <xf numFmtId="1" fontId="10" fillId="0" borderId="1" xfId="0" applyNumberFormat="1" applyFont="1" applyBorder="1" applyAlignment="1">
      <alignment horizontal="center" vertical="center"/>
    </xf>
    <xf numFmtId="164" fontId="9" fillId="0" borderId="1" xfId="0" applyNumberFormat="1" applyFont="1" applyBorder="1" applyAlignment="1">
      <alignment horizontal="center" vertical="center"/>
    </xf>
    <xf numFmtId="8" fontId="9" fillId="0" borderId="1" xfId="0" applyNumberFormat="1" applyFont="1" applyBorder="1" applyAlignment="1">
      <alignment horizontal="center" vertical="center"/>
    </xf>
    <xf numFmtId="0" fontId="9" fillId="0" borderId="13"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1" xfId="0" applyFont="1" applyBorder="1" applyAlignment="1">
      <alignment horizontal="left" vertical="center" wrapText="1"/>
    </xf>
    <xf numFmtId="0" fontId="9" fillId="0" borderId="1" xfId="0" applyFont="1" applyBorder="1" applyAlignment="1">
      <alignment horizontal="center" vertical="center" wrapText="1"/>
    </xf>
    <xf numFmtId="164" fontId="9" fillId="0" borderId="1" xfId="0" applyNumberFormat="1" applyFont="1" applyBorder="1" applyAlignment="1">
      <alignment horizontal="center" vertical="center" wrapText="1"/>
    </xf>
    <xf numFmtId="0" fontId="10" fillId="0" borderId="0" xfId="0" applyFont="1" applyAlignment="1">
      <alignment vertical="center"/>
    </xf>
    <xf numFmtId="0" fontId="9" fillId="0" borderId="1" xfId="0" applyFont="1" applyBorder="1" applyAlignment="1">
      <alignment horizontal="left" vertical="center" wrapText="1"/>
    </xf>
    <xf numFmtId="8" fontId="9" fillId="0" borderId="1" xfId="0" applyNumberFormat="1" applyFont="1" applyBorder="1" applyAlignment="1">
      <alignment horizontal="center" vertical="center" wrapText="1"/>
    </xf>
    <xf numFmtId="166" fontId="25" fillId="11" borderId="14" xfId="0" applyNumberFormat="1" applyFont="1" applyFill="1" applyBorder="1" applyAlignment="1">
      <alignment horizontal="center" vertical="center" wrapText="1"/>
    </xf>
    <xf numFmtId="166" fontId="25" fillId="13" borderId="14" xfId="0" applyNumberFormat="1" applyFont="1" applyFill="1" applyBorder="1" applyAlignment="1">
      <alignment horizontal="center" vertical="center" wrapText="1"/>
    </xf>
    <xf numFmtId="0" fontId="29" fillId="0" borderId="17" xfId="0" applyFont="1" applyBorder="1" applyAlignment="1">
      <alignment horizontal="center" vertical="center"/>
    </xf>
    <xf numFmtId="0" fontId="29" fillId="0" borderId="14" xfId="0" applyFont="1" applyBorder="1" applyAlignment="1">
      <alignment horizontal="center" vertical="center"/>
    </xf>
    <xf numFmtId="10" fontId="29" fillId="0" borderId="14" xfId="0" applyNumberFormat="1" applyFont="1" applyBorder="1" applyAlignment="1">
      <alignment horizontal="center" vertical="center" wrapText="1"/>
    </xf>
    <xf numFmtId="10" fontId="29" fillId="15" borderId="14" xfId="0" applyNumberFormat="1" applyFont="1" applyFill="1" applyBorder="1" applyAlignment="1">
      <alignment horizontal="center" vertical="center" wrapText="1"/>
    </xf>
    <xf numFmtId="0" fontId="29" fillId="0" borderId="0" xfId="0" applyFont="1" applyAlignment="1">
      <alignment horizontal="center" vertical="center" wrapText="1"/>
    </xf>
    <xf numFmtId="10" fontId="29" fillId="0" borderId="0" xfId="0" applyNumberFormat="1" applyFont="1" applyAlignment="1">
      <alignment horizontal="center" vertical="center" wrapText="1"/>
    </xf>
    <xf numFmtId="0" fontId="30" fillId="0" borderId="0" xfId="0" applyFont="1" applyAlignment="1">
      <alignment vertical="center"/>
    </xf>
    <xf numFmtId="0" fontId="16" fillId="0" borderId="0" xfId="3"/>
    <xf numFmtId="0" fontId="33" fillId="0" borderId="0" xfId="3" applyFont="1" applyAlignment="1">
      <alignment horizontal="left" vertical="center" wrapText="1"/>
    </xf>
    <xf numFmtId="0" fontId="16" fillId="0" borderId="0" xfId="3" applyAlignment="1">
      <alignment wrapText="1"/>
    </xf>
    <xf numFmtId="0" fontId="33" fillId="0" borderId="0" xfId="3" applyFont="1" applyAlignment="1">
      <alignment horizontal="left" vertical="center" indent="1"/>
    </xf>
    <xf numFmtId="0" fontId="33" fillId="0" borderId="0" xfId="3" applyFont="1" applyAlignment="1">
      <alignment horizontal="left" vertical="center" wrapText="1" indent="1"/>
    </xf>
    <xf numFmtId="0" fontId="33" fillId="0" borderId="0" xfId="3" applyFont="1" applyAlignment="1">
      <alignment horizontal="center" vertical="center"/>
    </xf>
    <xf numFmtId="0" fontId="16" fillId="0" borderId="0" xfId="3" applyAlignment="1">
      <alignment horizontal="left" vertical="center" wrapText="1" indent="1"/>
    </xf>
    <xf numFmtId="167" fontId="16" fillId="0" borderId="0" xfId="3" applyNumberFormat="1" applyAlignment="1">
      <alignment horizontal="left" vertical="center" wrapText="1" indent="1"/>
    </xf>
    <xf numFmtId="168" fontId="16" fillId="0" borderId="0" xfId="3" applyNumberFormat="1" applyAlignment="1">
      <alignment horizontal="left" vertical="center" wrapText="1" indent="1"/>
    </xf>
    <xf numFmtId="0" fontId="33" fillId="0" borderId="0" xfId="3" applyFont="1" applyAlignment="1">
      <alignment horizontal="left" indent="1"/>
    </xf>
    <xf numFmtId="164" fontId="25" fillId="10" borderId="14" xfId="0" applyNumberFormat="1" applyFont="1" applyFill="1" applyBorder="1" applyAlignment="1">
      <alignment horizontal="center" vertical="center" wrapText="1"/>
    </xf>
    <xf numFmtId="10" fontId="29" fillId="10" borderId="14" xfId="0" applyNumberFormat="1" applyFont="1" applyFill="1" applyBorder="1" applyAlignment="1">
      <alignment horizontal="center" vertical="center" wrapText="1"/>
    </xf>
    <xf numFmtId="164" fontId="9" fillId="10" borderId="1" xfId="0" applyNumberFormat="1" applyFont="1" applyFill="1" applyBorder="1" applyAlignment="1">
      <alignment horizontal="center" vertical="center"/>
    </xf>
    <xf numFmtId="164" fontId="10" fillId="0" borderId="1" xfId="0" applyNumberFormat="1" applyFont="1" applyBorder="1" applyAlignment="1">
      <alignment horizontal="center" vertical="center"/>
    </xf>
    <xf numFmtId="164" fontId="9" fillId="10" borderId="1" xfId="0" applyNumberFormat="1" applyFont="1" applyFill="1" applyBorder="1" applyAlignment="1">
      <alignment horizontal="center" vertical="center" wrapText="1"/>
    </xf>
    <xf numFmtId="8" fontId="9" fillId="10" borderId="1" xfId="0" applyNumberFormat="1" applyFont="1" applyFill="1" applyBorder="1" applyAlignment="1">
      <alignment horizontal="center" vertical="center" wrapText="1"/>
    </xf>
    <xf numFmtId="164" fontId="10" fillId="0" borderId="21" xfId="0" applyNumberFormat="1" applyFont="1" applyBorder="1" applyAlignment="1">
      <alignment horizontal="center" vertical="center"/>
    </xf>
    <xf numFmtId="164" fontId="10" fillId="0" borderId="14" xfId="0" applyNumberFormat="1" applyFont="1" applyBorder="1" applyAlignment="1">
      <alignment horizontal="center" vertical="center" wrapText="1"/>
    </xf>
    <xf numFmtId="8" fontId="10" fillId="10" borderId="1" xfId="0" applyNumberFormat="1" applyFont="1" applyFill="1" applyBorder="1" applyAlignment="1">
      <alignment horizontal="center" vertical="center"/>
    </xf>
    <xf numFmtId="10" fontId="25" fillId="17" borderId="14" xfId="0" applyNumberFormat="1" applyFont="1" applyFill="1" applyBorder="1" applyAlignment="1">
      <alignment horizontal="center" vertical="center"/>
    </xf>
    <xf numFmtId="10" fontId="25" fillId="18" borderId="14" xfId="0" applyNumberFormat="1" applyFont="1" applyFill="1" applyBorder="1" applyAlignment="1">
      <alignment horizontal="center" vertical="center"/>
    </xf>
    <xf numFmtId="10" fontId="10" fillId="10" borderId="1" xfId="0" applyNumberFormat="1" applyFont="1" applyFill="1" applyBorder="1" applyAlignment="1">
      <alignment horizontal="center" vertical="center"/>
    </xf>
    <xf numFmtId="0" fontId="33" fillId="0" borderId="0" xfId="3" applyFont="1" applyAlignment="1">
      <alignment horizontal="left" vertical="center" wrapText="1" indent="1"/>
    </xf>
    <xf numFmtId="0" fontId="33" fillId="0" borderId="0" xfId="3" applyFont="1" applyAlignment="1">
      <alignment horizontal="left" vertical="center" wrapText="1"/>
    </xf>
    <xf numFmtId="0" fontId="34" fillId="0" borderId="0" xfId="3" applyFont="1" applyAlignment="1">
      <alignment horizontal="left"/>
    </xf>
    <xf numFmtId="0" fontId="32" fillId="5" borderId="0" xfId="3" applyFont="1" applyFill="1" applyAlignment="1">
      <alignment horizontal="center" vertical="center"/>
    </xf>
    <xf numFmtId="0" fontId="32" fillId="0" borderId="0" xfId="3" applyFont="1" applyAlignment="1">
      <alignment horizontal="center" vertical="center"/>
    </xf>
    <xf numFmtId="164" fontId="10" fillId="7" borderId="15" xfId="0" applyNumberFormat="1" applyFont="1" applyFill="1" applyBorder="1" applyAlignment="1">
      <alignment horizontal="center" vertical="center" wrapText="1"/>
    </xf>
    <xf numFmtId="164" fontId="10" fillId="7" borderId="16" xfId="0" applyNumberFormat="1" applyFont="1" applyFill="1" applyBorder="1" applyAlignment="1">
      <alignment horizontal="center" vertical="center" wrapText="1"/>
    </xf>
    <xf numFmtId="164" fontId="10" fillId="7" borderId="17" xfId="0" applyNumberFormat="1" applyFont="1" applyFill="1" applyBorder="1" applyAlignment="1">
      <alignment horizontal="center" vertical="center" wrapText="1"/>
    </xf>
    <xf numFmtId="0" fontId="10" fillId="0" borderId="15" xfId="0" applyFont="1" applyBorder="1" applyAlignment="1">
      <alignment horizontal="left" vertical="center" wrapText="1"/>
    </xf>
    <xf numFmtId="0" fontId="10" fillId="0" borderId="16" xfId="0" applyFont="1" applyBorder="1" applyAlignment="1">
      <alignment horizontal="left" vertical="center" wrapText="1"/>
    </xf>
    <xf numFmtId="0" fontId="10" fillId="0" borderId="17" xfId="0" applyFont="1" applyBorder="1" applyAlignment="1">
      <alignment horizontal="left" vertical="center" wrapText="1"/>
    </xf>
    <xf numFmtId="0" fontId="9" fillId="0" borderId="15"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17" xfId="0" applyFont="1" applyBorder="1" applyAlignment="1">
      <alignment horizontal="center" vertical="center" wrapText="1"/>
    </xf>
    <xf numFmtId="0" fontId="10" fillId="6" borderId="15" xfId="0" applyFont="1" applyFill="1" applyBorder="1" applyAlignment="1">
      <alignment horizontal="center" vertical="center" wrapText="1"/>
    </xf>
    <xf numFmtId="0" fontId="10" fillId="6" borderId="16" xfId="0" applyFont="1" applyFill="1" applyBorder="1" applyAlignment="1">
      <alignment horizontal="center" vertical="center" wrapText="1"/>
    </xf>
    <xf numFmtId="0" fontId="10" fillId="6" borderId="17" xfId="0" applyFont="1" applyFill="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17" xfId="0" applyFont="1" applyBorder="1" applyAlignment="1">
      <alignment horizontal="center" vertical="center" wrapText="1"/>
    </xf>
    <xf numFmtId="0" fontId="10" fillId="7" borderId="15" xfId="0" applyFont="1" applyFill="1" applyBorder="1" applyAlignment="1">
      <alignment horizontal="center" vertical="center" wrapText="1"/>
    </xf>
    <xf numFmtId="0" fontId="10" fillId="7" borderId="17" xfId="0" applyFont="1" applyFill="1" applyBorder="1" applyAlignment="1">
      <alignment horizontal="center" vertical="center" wrapText="1"/>
    </xf>
    <xf numFmtId="0" fontId="10" fillId="7" borderId="16" xfId="0" applyFont="1" applyFill="1" applyBorder="1" applyAlignment="1">
      <alignment horizontal="center" vertical="center" wrapText="1"/>
    </xf>
    <xf numFmtId="0" fontId="10" fillId="9" borderId="15" xfId="0" applyFont="1" applyFill="1" applyBorder="1" applyAlignment="1">
      <alignment horizontal="center" vertical="center" wrapText="1"/>
    </xf>
    <xf numFmtId="0" fontId="10" fillId="9" borderId="17" xfId="0" applyFont="1" applyFill="1" applyBorder="1" applyAlignment="1">
      <alignment horizontal="center" vertical="center" wrapText="1"/>
    </xf>
    <xf numFmtId="0" fontId="14" fillId="9" borderId="15" xfId="0" applyFont="1" applyFill="1" applyBorder="1" applyAlignment="1">
      <alignment horizontal="center" vertical="center" wrapText="1"/>
    </xf>
    <xf numFmtId="0" fontId="14" fillId="9" borderId="17" xfId="0" applyFont="1" applyFill="1" applyBorder="1" applyAlignment="1">
      <alignment horizontal="center" vertical="center" wrapText="1"/>
    </xf>
    <xf numFmtId="0" fontId="10" fillId="9" borderId="16" xfId="0" applyFont="1" applyFill="1" applyBorder="1" applyAlignment="1">
      <alignment horizontal="center" vertical="center" wrapText="1"/>
    </xf>
    <xf numFmtId="0" fontId="9" fillId="6" borderId="16" xfId="0" applyFont="1" applyFill="1" applyBorder="1" applyAlignment="1">
      <alignment horizontal="center" vertical="center" wrapText="1"/>
    </xf>
    <xf numFmtId="0" fontId="9" fillId="6" borderId="17" xfId="0" applyFont="1" applyFill="1" applyBorder="1" applyAlignment="1">
      <alignment horizontal="center" vertical="center" wrapText="1"/>
    </xf>
    <xf numFmtId="0" fontId="10" fillId="9" borderId="15" xfId="0" applyFont="1" applyFill="1" applyBorder="1" applyAlignment="1">
      <alignment horizontal="left" vertical="center" wrapText="1"/>
    </xf>
    <xf numFmtId="0" fontId="10" fillId="9" borderId="16" xfId="0" applyFont="1" applyFill="1" applyBorder="1" applyAlignment="1">
      <alignment horizontal="left" vertical="center" wrapText="1"/>
    </xf>
    <xf numFmtId="0" fontId="10" fillId="9" borderId="17" xfId="0" applyFont="1" applyFill="1" applyBorder="1" applyAlignment="1">
      <alignment horizontal="left" vertical="center" wrapText="1"/>
    </xf>
    <xf numFmtId="0" fontId="10" fillId="7" borderId="15" xfId="0" applyFont="1" applyFill="1" applyBorder="1" applyAlignment="1">
      <alignment horizontal="left" vertical="center" wrapText="1"/>
    </xf>
    <xf numFmtId="0" fontId="10" fillId="7" borderId="16" xfId="0" applyFont="1" applyFill="1" applyBorder="1" applyAlignment="1">
      <alignment horizontal="left" vertical="center" wrapText="1"/>
    </xf>
    <xf numFmtId="0" fontId="10" fillId="7" borderId="17" xfId="0" applyFont="1" applyFill="1" applyBorder="1" applyAlignment="1">
      <alignment horizontal="left" vertical="center" wrapText="1"/>
    </xf>
    <xf numFmtId="0" fontId="10" fillId="9" borderId="14" xfId="0" applyFont="1" applyFill="1" applyBorder="1" applyAlignment="1">
      <alignment horizontal="center" vertical="center" wrapText="1"/>
    </xf>
    <xf numFmtId="0" fontId="10" fillId="4" borderId="9" xfId="0" applyFont="1" applyFill="1" applyBorder="1" applyAlignment="1">
      <alignment horizontal="center" vertical="center"/>
    </xf>
    <xf numFmtId="0" fontId="10" fillId="4" borderId="10" xfId="0" applyFont="1" applyFill="1" applyBorder="1" applyAlignment="1">
      <alignment horizontal="center" vertical="center"/>
    </xf>
    <xf numFmtId="0" fontId="10" fillId="4" borderId="11" xfId="0" applyFont="1" applyFill="1" applyBorder="1" applyAlignment="1">
      <alignment horizontal="center" vertical="center"/>
    </xf>
    <xf numFmtId="0" fontId="10" fillId="0" borderId="9" xfId="0" applyFont="1" applyBorder="1" applyAlignment="1">
      <alignment horizontal="center" vertical="center" wrapText="1"/>
    </xf>
    <xf numFmtId="0" fontId="10" fillId="0" borderId="11" xfId="0" applyFont="1" applyBorder="1" applyAlignment="1">
      <alignment horizontal="center" vertical="center" wrapText="1"/>
    </xf>
    <xf numFmtId="0" fontId="10" fillId="5" borderId="9" xfId="0" applyFont="1" applyFill="1" applyBorder="1" applyAlignment="1">
      <alignment horizontal="center" vertical="center" wrapText="1"/>
    </xf>
    <xf numFmtId="0" fontId="10" fillId="5" borderId="10" xfId="0" applyFont="1" applyFill="1" applyBorder="1" applyAlignment="1">
      <alignment horizontal="center" vertical="center" wrapText="1"/>
    </xf>
    <xf numFmtId="0" fontId="10" fillId="5" borderId="11" xfId="0" applyFont="1" applyFill="1" applyBorder="1" applyAlignment="1">
      <alignment horizontal="center" vertical="center" wrapText="1"/>
    </xf>
    <xf numFmtId="0" fontId="29" fillId="14" borderId="15" xfId="0" applyFont="1" applyFill="1" applyBorder="1" applyAlignment="1">
      <alignment horizontal="center" vertical="center" wrapText="1"/>
    </xf>
    <xf numFmtId="0" fontId="29" fillId="14" borderId="16" xfId="0" applyFont="1" applyFill="1" applyBorder="1" applyAlignment="1">
      <alignment horizontal="center" vertical="center" wrapText="1"/>
    </xf>
    <xf numFmtId="0" fontId="29" fillId="14" borderId="17" xfId="0" applyFont="1" applyFill="1" applyBorder="1" applyAlignment="1">
      <alignment horizontal="center" vertical="center" wrapText="1"/>
    </xf>
    <xf numFmtId="0" fontId="29" fillId="0" borderId="15" xfId="0" applyFont="1" applyBorder="1" applyAlignment="1">
      <alignment horizontal="center" vertical="center" wrapText="1"/>
    </xf>
    <xf numFmtId="0" fontId="29" fillId="0" borderId="17" xfId="0" applyFont="1" applyBorder="1" applyAlignment="1">
      <alignment horizontal="center" vertical="center" wrapText="1"/>
    </xf>
    <xf numFmtId="1" fontId="10" fillId="0" borderId="12" xfId="0" applyNumberFormat="1" applyFont="1" applyBorder="1" applyAlignment="1">
      <alignment horizontal="center" vertical="center"/>
    </xf>
    <xf numFmtId="1" fontId="10" fillId="0" borderId="18" xfId="0" applyNumberFormat="1" applyFont="1" applyBorder="1" applyAlignment="1">
      <alignment horizontal="center" vertical="center"/>
    </xf>
    <xf numFmtId="1" fontId="10" fillId="0" borderId="13" xfId="0" applyNumberFormat="1" applyFont="1" applyBorder="1" applyAlignment="1">
      <alignment horizontal="center" vertical="center"/>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10" fillId="4" borderId="9" xfId="0" applyFont="1" applyFill="1" applyBorder="1" applyAlignment="1">
      <alignment horizontal="center"/>
    </xf>
    <xf numFmtId="0" fontId="10" fillId="4" borderId="10" xfId="0" applyFont="1" applyFill="1" applyBorder="1" applyAlignment="1">
      <alignment horizontal="center"/>
    </xf>
    <xf numFmtId="0" fontId="10" fillId="4" borderId="11" xfId="0" applyFont="1" applyFill="1" applyBorder="1" applyAlignment="1">
      <alignment horizontal="center"/>
    </xf>
    <xf numFmtId="0" fontId="10" fillId="4" borderId="9" xfId="0" applyFont="1" applyFill="1" applyBorder="1" applyAlignment="1">
      <alignment horizontal="center" vertical="center" wrapText="1"/>
    </xf>
    <xf numFmtId="0" fontId="10" fillId="4" borderId="10" xfId="0" applyFont="1" applyFill="1" applyBorder="1" applyAlignment="1">
      <alignment horizontal="center" vertical="center" wrapText="1"/>
    </xf>
    <xf numFmtId="0" fontId="10" fillId="4" borderId="11" xfId="0" applyFont="1" applyFill="1" applyBorder="1" applyAlignment="1">
      <alignment horizontal="center" vertical="center" wrapText="1"/>
    </xf>
    <xf numFmtId="0" fontId="10" fillId="0" borderId="19" xfId="0" applyFont="1" applyBorder="1" applyAlignment="1">
      <alignment horizontal="center" vertical="center"/>
    </xf>
    <xf numFmtId="0" fontId="10" fillId="0" borderId="20" xfId="0" applyFont="1" applyBorder="1" applyAlignment="1">
      <alignment horizontal="center" vertical="center"/>
    </xf>
    <xf numFmtId="0" fontId="9" fillId="8" borderId="2" xfId="0" applyFont="1" applyFill="1" applyBorder="1" applyAlignment="1">
      <alignment vertical="center"/>
    </xf>
    <xf numFmtId="0" fontId="9" fillId="8" borderId="3" xfId="0" applyFont="1" applyFill="1" applyBorder="1" applyAlignment="1">
      <alignment vertical="center"/>
    </xf>
    <xf numFmtId="0" fontId="9" fillId="8" borderId="4" xfId="0" applyFont="1" applyFill="1" applyBorder="1" applyAlignment="1">
      <alignment vertical="center"/>
    </xf>
    <xf numFmtId="0" fontId="9" fillId="8" borderId="5" xfId="0" applyFont="1" applyFill="1" applyBorder="1" applyAlignment="1">
      <alignment vertical="center"/>
    </xf>
    <xf numFmtId="0" fontId="9" fillId="8" borderId="0" xfId="0" applyFont="1" applyFill="1" applyAlignment="1">
      <alignment vertical="center"/>
    </xf>
    <xf numFmtId="0" fontId="9" fillId="8" borderId="6" xfId="0" applyFont="1" applyFill="1" applyBorder="1" applyAlignment="1">
      <alignment vertical="center"/>
    </xf>
    <xf numFmtId="0" fontId="9" fillId="0" borderId="9" xfId="0" applyFont="1" applyBorder="1" applyAlignment="1">
      <alignment vertical="center"/>
    </xf>
    <xf numFmtId="0" fontId="9" fillId="0" borderId="10" xfId="0" applyFont="1" applyBorder="1" applyAlignment="1">
      <alignment vertical="center"/>
    </xf>
    <xf numFmtId="0" fontId="9" fillId="0" borderId="11" xfId="0" applyFont="1" applyBorder="1" applyAlignment="1">
      <alignment vertical="center"/>
    </xf>
    <xf numFmtId="0" fontId="10" fillId="6" borderId="9" xfId="0" applyFont="1" applyFill="1" applyBorder="1" applyAlignment="1">
      <alignment horizontal="center" vertical="center"/>
    </xf>
    <xf numFmtId="0" fontId="10" fillId="6" borderId="10" xfId="0" applyFont="1" applyFill="1" applyBorder="1" applyAlignment="1">
      <alignment horizontal="center" vertical="center"/>
    </xf>
    <xf numFmtId="0" fontId="10" fillId="6" borderId="11" xfId="0" applyFont="1" applyFill="1" applyBorder="1" applyAlignment="1">
      <alignment horizontal="center" vertical="center"/>
    </xf>
    <xf numFmtId="0" fontId="10" fillId="7" borderId="9" xfId="0" applyFont="1" applyFill="1" applyBorder="1" applyAlignment="1">
      <alignment horizontal="center" vertical="center"/>
    </xf>
    <xf numFmtId="0" fontId="10" fillId="7" borderId="11" xfId="0" applyFont="1" applyFill="1" applyBorder="1" applyAlignment="1">
      <alignment horizontal="center" vertical="center"/>
    </xf>
    <xf numFmtId="0" fontId="11" fillId="7" borderId="9" xfId="1" applyFont="1" applyFill="1" applyBorder="1" applyAlignment="1">
      <alignment horizontal="center" vertical="center"/>
    </xf>
    <xf numFmtId="0" fontId="11" fillId="7" borderId="10" xfId="1" applyFont="1" applyFill="1" applyBorder="1" applyAlignment="1">
      <alignment horizontal="center" vertical="center"/>
    </xf>
    <xf numFmtId="0" fontId="11" fillId="7" borderId="11" xfId="1" applyFont="1" applyFill="1" applyBorder="1" applyAlignment="1">
      <alignment horizontal="center" vertical="center"/>
    </xf>
    <xf numFmtId="0" fontId="10" fillId="9" borderId="9" xfId="0" applyFont="1" applyFill="1" applyBorder="1" applyAlignment="1">
      <alignment horizontal="center" vertical="center"/>
    </xf>
    <xf numFmtId="0" fontId="10" fillId="9" borderId="11" xfId="0" applyFont="1" applyFill="1" applyBorder="1" applyAlignment="1">
      <alignment horizontal="center" vertical="center"/>
    </xf>
    <xf numFmtId="0" fontId="10" fillId="10" borderId="9" xfId="0" applyFont="1" applyFill="1" applyBorder="1" applyAlignment="1">
      <alignment horizontal="center" vertical="center"/>
    </xf>
    <xf numFmtId="0" fontId="10" fillId="10" borderId="10" xfId="0" applyFont="1" applyFill="1" applyBorder="1" applyAlignment="1">
      <alignment horizontal="center" vertical="center"/>
    </xf>
    <xf numFmtId="0" fontId="10" fillId="10" borderId="11" xfId="0" applyFont="1" applyFill="1" applyBorder="1" applyAlignment="1">
      <alignment horizontal="center" vertical="center"/>
    </xf>
    <xf numFmtId="0" fontId="10" fillId="7" borderId="2" xfId="0" applyFont="1" applyFill="1" applyBorder="1" applyAlignment="1">
      <alignment horizontal="center" vertical="center" wrapText="1"/>
    </xf>
    <xf numFmtId="0" fontId="10" fillId="7" borderId="4" xfId="0" applyFont="1" applyFill="1" applyBorder="1" applyAlignment="1">
      <alignment horizontal="center" vertical="center" wrapText="1"/>
    </xf>
    <xf numFmtId="0" fontId="10" fillId="7" borderId="5" xfId="0" applyFont="1" applyFill="1" applyBorder="1" applyAlignment="1">
      <alignment horizontal="center" vertical="center" wrapText="1"/>
    </xf>
    <xf numFmtId="0" fontId="10" fillId="7" borderId="6" xfId="0" applyFont="1" applyFill="1" applyBorder="1" applyAlignment="1">
      <alignment horizontal="center" vertical="center" wrapText="1"/>
    </xf>
    <xf numFmtId="0" fontId="10" fillId="7" borderId="7" xfId="0" applyFont="1" applyFill="1" applyBorder="1" applyAlignment="1">
      <alignment horizontal="center" vertical="center" wrapText="1"/>
    </xf>
    <xf numFmtId="0" fontId="10" fillId="7" borderId="8" xfId="0" applyFont="1" applyFill="1" applyBorder="1" applyAlignment="1">
      <alignment horizontal="center" vertical="center" wrapText="1"/>
    </xf>
    <xf numFmtId="0" fontId="10" fillId="10" borderId="9" xfId="0" applyFont="1" applyFill="1" applyBorder="1" applyAlignment="1">
      <alignment vertical="center"/>
    </xf>
    <xf numFmtId="0" fontId="10" fillId="10" borderId="10" xfId="0" applyFont="1" applyFill="1" applyBorder="1" applyAlignment="1">
      <alignment vertical="center"/>
    </xf>
    <xf numFmtId="0" fontId="10" fillId="10" borderId="11" xfId="0" applyFont="1" applyFill="1" applyBorder="1" applyAlignment="1">
      <alignment vertical="center"/>
    </xf>
    <xf numFmtId="0" fontId="10" fillId="9" borderId="10" xfId="0" applyFont="1" applyFill="1" applyBorder="1" applyAlignment="1">
      <alignment horizontal="center" vertical="center"/>
    </xf>
    <xf numFmtId="8" fontId="10" fillId="10" borderId="9" xfId="0" applyNumberFormat="1" applyFont="1" applyFill="1" applyBorder="1" applyAlignment="1">
      <alignment horizontal="center" vertical="center"/>
    </xf>
    <xf numFmtId="0" fontId="10" fillId="9" borderId="9" xfId="0" applyFont="1" applyFill="1" applyBorder="1" applyAlignment="1">
      <alignment horizontal="center" vertical="center" wrapText="1"/>
    </xf>
    <xf numFmtId="0" fontId="10" fillId="9" borderId="11" xfId="0" applyFont="1" applyFill="1" applyBorder="1" applyAlignment="1">
      <alignment horizontal="center" vertical="center" wrapText="1"/>
    </xf>
    <xf numFmtId="0" fontId="10" fillId="7" borderId="9" xfId="0" applyFont="1" applyFill="1" applyBorder="1" applyAlignment="1">
      <alignment horizontal="center" vertical="center" wrapText="1"/>
    </xf>
    <xf numFmtId="0" fontId="10" fillId="7" borderId="11" xfId="0" applyFont="1" applyFill="1" applyBorder="1" applyAlignment="1">
      <alignment horizontal="center" vertical="center" wrapText="1"/>
    </xf>
    <xf numFmtId="0" fontId="10" fillId="7" borderId="10" xfId="0" applyFont="1" applyFill="1" applyBorder="1" applyAlignment="1">
      <alignment horizontal="center" vertical="center"/>
    </xf>
    <xf numFmtId="0" fontId="11" fillId="9" borderId="9" xfId="2" applyFont="1" applyFill="1" applyBorder="1" applyAlignment="1">
      <alignment horizontal="center" vertical="center"/>
    </xf>
    <xf numFmtId="0" fontId="13" fillId="9" borderId="10" xfId="2" applyFont="1" applyFill="1" applyBorder="1" applyAlignment="1">
      <alignment horizontal="center" vertical="center"/>
    </xf>
    <xf numFmtId="0" fontId="13" fillId="9" borderId="11" xfId="2" applyFont="1" applyFill="1" applyBorder="1" applyAlignment="1">
      <alignment horizontal="center" vertical="center"/>
    </xf>
    <xf numFmtId="0" fontId="9" fillId="7" borderId="9" xfId="0" applyFont="1" applyFill="1" applyBorder="1" applyAlignment="1">
      <alignment vertical="center"/>
    </xf>
    <xf numFmtId="0" fontId="9" fillId="7" borderId="10" xfId="0" applyFont="1" applyFill="1" applyBorder="1" applyAlignment="1">
      <alignment vertical="center"/>
    </xf>
    <xf numFmtId="0" fontId="9" fillId="7" borderId="11" xfId="0" applyFont="1" applyFill="1" applyBorder="1" applyAlignment="1">
      <alignment vertical="center"/>
    </xf>
    <xf numFmtId="0" fontId="9" fillId="3" borderId="9" xfId="0" applyFont="1" applyFill="1" applyBorder="1" applyAlignment="1">
      <alignment vertical="center"/>
    </xf>
    <xf numFmtId="0" fontId="9" fillId="3" borderId="10" xfId="0" applyFont="1" applyFill="1" applyBorder="1" applyAlignment="1">
      <alignment vertical="center"/>
    </xf>
    <xf numFmtId="0" fontId="9" fillId="3" borderId="11" xfId="0" applyFont="1" applyFill="1" applyBorder="1" applyAlignment="1">
      <alignment vertical="center"/>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4" xfId="0" applyFont="1" applyFill="1" applyBorder="1" applyAlignment="1">
      <alignment horizontal="center" vertical="center"/>
    </xf>
    <xf numFmtId="0" fontId="9" fillId="7" borderId="9" xfId="0" applyFont="1" applyFill="1" applyBorder="1" applyAlignment="1">
      <alignment horizontal="center" vertical="center"/>
    </xf>
    <xf numFmtId="0" fontId="9" fillId="7" borderId="10" xfId="0" applyFont="1" applyFill="1" applyBorder="1" applyAlignment="1">
      <alignment horizontal="center" vertical="center"/>
    </xf>
    <xf numFmtId="0" fontId="9" fillId="7" borderId="11" xfId="0" applyFont="1" applyFill="1" applyBorder="1" applyAlignment="1">
      <alignment horizontal="center" vertical="center"/>
    </xf>
    <xf numFmtId="0" fontId="9" fillId="9" borderId="9" xfId="0" applyFont="1" applyFill="1" applyBorder="1" applyAlignment="1">
      <alignment vertical="center"/>
    </xf>
    <xf numFmtId="0" fontId="9" fillId="9" borderId="10" xfId="0" applyFont="1" applyFill="1" applyBorder="1" applyAlignment="1">
      <alignment vertical="center"/>
    </xf>
    <xf numFmtId="0" fontId="9" fillId="9" borderId="11" xfId="0" applyFont="1" applyFill="1" applyBorder="1" applyAlignment="1">
      <alignment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26" fillId="12" borderId="14" xfId="0" applyFont="1" applyFill="1" applyBorder="1" applyAlignment="1">
      <alignment horizontal="left" vertical="center"/>
    </xf>
    <xf numFmtId="0" fontId="26" fillId="11" borderId="14" xfId="0" applyFont="1" applyFill="1" applyBorder="1" applyAlignment="1">
      <alignment horizontal="left" vertical="center"/>
    </xf>
    <xf numFmtId="0" fontId="10" fillId="7" borderId="12" xfId="0" applyFont="1" applyFill="1" applyBorder="1" applyAlignment="1">
      <alignment horizontal="center" vertical="center"/>
    </xf>
    <xf numFmtId="0" fontId="10" fillId="7" borderId="13" xfId="0" applyFont="1" applyFill="1" applyBorder="1" applyAlignment="1">
      <alignment horizontal="center" vertical="center"/>
    </xf>
    <xf numFmtId="0" fontId="10" fillId="3" borderId="12" xfId="0" applyFont="1" applyFill="1" applyBorder="1" applyAlignment="1">
      <alignment horizontal="center" vertical="center"/>
    </xf>
    <xf numFmtId="0" fontId="10" fillId="3" borderId="13" xfId="0" applyFont="1" applyFill="1" applyBorder="1" applyAlignment="1">
      <alignment horizontal="center" vertical="center"/>
    </xf>
    <xf numFmtId="0" fontId="10" fillId="3" borderId="9" xfId="0" applyFont="1" applyFill="1" applyBorder="1" applyAlignment="1">
      <alignment horizontal="center" vertical="center"/>
    </xf>
    <xf numFmtId="0" fontId="10" fillId="3" borderId="11" xfId="0" applyFont="1" applyFill="1" applyBorder="1" applyAlignment="1">
      <alignment horizontal="center" vertical="center"/>
    </xf>
    <xf numFmtId="8" fontId="10" fillId="3" borderId="9" xfId="0" applyNumberFormat="1" applyFont="1" applyFill="1" applyBorder="1" applyAlignment="1">
      <alignment horizontal="center" vertical="center"/>
    </xf>
    <xf numFmtId="0" fontId="26" fillId="11" borderId="15" xfId="0" applyFont="1" applyFill="1" applyBorder="1" applyAlignment="1">
      <alignment horizontal="left" vertical="center"/>
    </xf>
    <xf numFmtId="0" fontId="26" fillId="11" borderId="16" xfId="0" applyFont="1" applyFill="1" applyBorder="1" applyAlignment="1">
      <alignment horizontal="left" vertical="center"/>
    </xf>
    <xf numFmtId="0" fontId="26" fillId="11" borderId="17" xfId="0" applyFont="1" applyFill="1" applyBorder="1" applyAlignment="1">
      <alignment horizontal="left" vertical="center"/>
    </xf>
    <xf numFmtId="0" fontId="26" fillId="12" borderId="15" xfId="0" applyFont="1" applyFill="1" applyBorder="1" applyAlignment="1">
      <alignment horizontal="left" vertical="center" wrapText="1"/>
    </xf>
    <xf numFmtId="0" fontId="26" fillId="12" borderId="16" xfId="0" applyFont="1" applyFill="1" applyBorder="1" applyAlignment="1">
      <alignment horizontal="left" vertical="center" wrapText="1"/>
    </xf>
    <xf numFmtId="0" fontId="26" fillId="12" borderId="17" xfId="0" applyFont="1" applyFill="1" applyBorder="1" applyAlignment="1">
      <alignment horizontal="left" vertical="center" wrapText="1"/>
    </xf>
    <xf numFmtId="165" fontId="26" fillId="12" borderId="15" xfId="0" applyNumberFormat="1" applyFont="1" applyFill="1" applyBorder="1" applyAlignment="1">
      <alignment horizontal="left" vertical="center"/>
    </xf>
    <xf numFmtId="165" fontId="26" fillId="12" borderId="16" xfId="0" applyNumberFormat="1" applyFont="1" applyFill="1" applyBorder="1" applyAlignment="1">
      <alignment horizontal="left" vertical="center"/>
    </xf>
    <xf numFmtId="165" fontId="26" fillId="12" borderId="17" xfId="0" applyNumberFormat="1" applyFont="1" applyFill="1" applyBorder="1" applyAlignment="1">
      <alignment horizontal="left" vertical="center"/>
    </xf>
    <xf numFmtId="0" fontId="10" fillId="0" borderId="8" xfId="0" applyFont="1" applyBorder="1" applyAlignment="1">
      <alignment horizontal="center" vertical="center"/>
    </xf>
    <xf numFmtId="0" fontId="9" fillId="6" borderId="9" xfId="0" applyFont="1" applyFill="1" applyBorder="1" applyAlignment="1">
      <alignment horizontal="center" vertical="center"/>
    </xf>
    <xf numFmtId="0" fontId="9" fillId="6" borderId="10" xfId="0" applyFont="1" applyFill="1" applyBorder="1" applyAlignment="1">
      <alignment horizontal="center" vertical="center"/>
    </xf>
    <xf numFmtId="0" fontId="9" fillId="6" borderId="11" xfId="0" applyFont="1" applyFill="1" applyBorder="1" applyAlignment="1">
      <alignment horizontal="center" vertical="center"/>
    </xf>
    <xf numFmtId="0" fontId="10" fillId="6" borderId="9" xfId="0" applyFont="1" applyFill="1" applyBorder="1" applyAlignment="1">
      <alignment horizontal="center" vertical="center" wrapText="1"/>
    </xf>
    <xf numFmtId="0" fontId="10" fillId="6" borderId="10" xfId="0" applyFont="1" applyFill="1" applyBorder="1" applyAlignment="1">
      <alignment horizontal="center" vertical="center" wrapText="1"/>
    </xf>
    <xf numFmtId="0" fontId="10" fillId="6" borderId="11" xfId="0" applyFont="1" applyFill="1" applyBorder="1" applyAlignment="1">
      <alignment horizontal="center" vertical="center" wrapText="1"/>
    </xf>
    <xf numFmtId="0" fontId="10" fillId="3" borderId="10" xfId="0" applyFont="1" applyFill="1" applyBorder="1" applyAlignment="1">
      <alignment horizontal="center" vertical="center"/>
    </xf>
    <xf numFmtId="0" fontId="11" fillId="9" borderId="10" xfId="2" applyFont="1" applyFill="1" applyBorder="1" applyAlignment="1">
      <alignment horizontal="center" vertical="center"/>
    </xf>
    <xf numFmtId="0" fontId="11" fillId="9" borderId="11" xfId="2" applyFont="1" applyFill="1" applyBorder="1" applyAlignment="1">
      <alignment horizontal="center" vertical="center"/>
    </xf>
    <xf numFmtId="0" fontId="19" fillId="11" borderId="14" xfId="0" applyFont="1" applyFill="1" applyBorder="1" applyAlignment="1">
      <alignment horizontal="left" vertical="center"/>
    </xf>
    <xf numFmtId="0" fontId="19" fillId="12" borderId="14" xfId="0" applyFont="1" applyFill="1" applyBorder="1" applyAlignment="1">
      <alignment horizontal="left" vertical="center"/>
    </xf>
    <xf numFmtId="0" fontId="25" fillId="16" borderId="14" xfId="0" applyFont="1" applyFill="1" applyBorder="1" applyAlignment="1">
      <alignment horizontal="center" vertical="center"/>
    </xf>
    <xf numFmtId="0" fontId="26" fillId="11" borderId="22" xfId="0" applyFont="1" applyFill="1" applyBorder="1" applyAlignment="1">
      <alignment horizontal="left" vertical="center"/>
    </xf>
    <xf numFmtId="0" fontId="26" fillId="11" borderId="23" xfId="0" applyFont="1" applyFill="1" applyBorder="1" applyAlignment="1">
      <alignment horizontal="left" vertical="center"/>
    </xf>
    <xf numFmtId="0" fontId="26" fillId="11" borderId="24" xfId="0" applyFont="1" applyFill="1" applyBorder="1" applyAlignment="1">
      <alignment horizontal="left" vertical="center"/>
    </xf>
  </cellXfs>
  <cellStyles count="4">
    <cellStyle name="Hiperlink" xfId="2" builtinId="8"/>
    <cellStyle name="Hyperlink" xfId="1" xr:uid="{00000000-000B-0000-0000-000008000000}"/>
    <cellStyle name="Normal" xfId="0" builtinId="0"/>
    <cellStyle name="Normal 2" xfId="3" xr:uid="{49001BF9-AFAF-443E-8B75-EDA80F00928D}"/>
  </cellStyles>
  <dxfs count="0"/>
  <tableStyles count="0" defaultTableStyle="TableStyleMedium2" defaultPivotStyle="PivotStyleMedium9"/>
  <colors>
    <mruColors>
      <color rgb="FFDCF0BD"/>
      <color rgb="FFFEFFDE"/>
      <color rgb="FFC43D0C"/>
      <color rgb="FFF2F2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hyperlink" Target="https://bioinvasaobrasil.org.br/index.php" TargetMode="External"/><Relationship Id="rId1" Type="http://schemas.openxmlformats.org/officeDocument/2006/relationships/image" Target="../media/image2.xlsrvcdf"/></Relationships>
</file>

<file path=xl/drawings/_rels/drawing3.xml.rels><?xml version="1.0" encoding="UTF-8" standalone="yes"?>
<Relationships xmlns="http://schemas.openxmlformats.org/package/2006/relationships"><Relationship Id="rId2" Type="http://schemas.openxmlformats.org/officeDocument/2006/relationships/hyperlink" Target="https://bioinvasaobrasil.org.br/index.php" TargetMode="External"/><Relationship Id="rId1" Type="http://schemas.openxmlformats.org/officeDocument/2006/relationships/image" Target="../media/image2.xlsrvcdf"/></Relationships>
</file>

<file path=xl/drawings/drawing1.xml><?xml version="1.0" encoding="utf-8"?>
<xdr:wsDr xmlns:xdr="http://schemas.openxmlformats.org/drawingml/2006/spreadsheetDrawing" xmlns:a="http://schemas.openxmlformats.org/drawingml/2006/main">
  <xdr:twoCellAnchor editAs="oneCell">
    <xdr:from>
      <xdr:col>1</xdr:col>
      <xdr:colOff>1457325</xdr:colOff>
      <xdr:row>0</xdr:row>
      <xdr:rowOff>57150</xdr:rowOff>
    </xdr:from>
    <xdr:to>
      <xdr:col>3</xdr:col>
      <xdr:colOff>948961</xdr:colOff>
      <xdr:row>0</xdr:row>
      <xdr:rowOff>1630061</xdr:rowOff>
    </xdr:to>
    <xdr:pic>
      <xdr:nvPicPr>
        <xdr:cNvPr id="3" name="Imagem 2">
          <a:extLst>
            <a:ext uri="{FF2B5EF4-FFF2-40B4-BE49-F238E27FC236}">
              <a16:creationId xmlns:a16="http://schemas.microsoft.com/office/drawing/2014/main" id="{42ECD024-1276-2F1A-466C-9DBA292EB643}"/>
            </a:ext>
          </a:extLst>
        </xdr:cNvPr>
        <xdr:cNvPicPr>
          <a:picLocks noChangeAspect="1"/>
        </xdr:cNvPicPr>
      </xdr:nvPicPr>
      <xdr:blipFill>
        <a:blip xmlns:r="http://schemas.openxmlformats.org/officeDocument/2006/relationships" r:embed="rId1"/>
        <a:stretch>
          <a:fillRect/>
        </a:stretch>
      </xdr:blipFill>
      <xdr:spPr>
        <a:xfrm>
          <a:off x="2400300" y="57150"/>
          <a:ext cx="3158761" cy="157291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333375</xdr:colOff>
      <xdr:row>0</xdr:row>
      <xdr:rowOff>66675</xdr:rowOff>
    </xdr:from>
    <xdr:to>
      <xdr:col>3</xdr:col>
      <xdr:colOff>1085850</xdr:colOff>
      <xdr:row>5</xdr:row>
      <xdr:rowOff>153987</xdr:rowOff>
    </xdr:to>
    <xdr:pic>
      <xdr:nvPicPr>
        <xdr:cNvPr id="2" name="Imagem 1">
          <a:extLst>
            <a:ext uri="{FF2B5EF4-FFF2-40B4-BE49-F238E27FC236}">
              <a16:creationId xmlns:a16="http://schemas.microsoft.com/office/drawing/2014/main" id="{9848E1D8-2499-4AA2-8CBC-620F57AA43EE}"/>
            </a:ext>
            <a:ext uri="{147F2762-F138-4A5C-976F-8EAC2B608ADB}">
              <a16:predDERef xmlns:a16="http://schemas.microsoft.com/office/drawing/2014/main" pred="{966A7F80-420A-BA4F-4A34-6EDEFE9E8271}"/>
            </a:ext>
          </a:extLst>
        </xdr:cNvPr>
        <xdr:cNvPicPr>
          <a:picLocks noChangeAspect="1"/>
        </xdr:cNvPicPr>
      </xdr:nvPicPr>
      <xdr:blipFill>
        <a:blip xmlns:r="http://schemas.openxmlformats.org/officeDocument/2006/relationships" r:embed="rId1">
          <a:extLst>
            <a:ext uri="{837473B0-CC2E-450A-ABE3-18F120FF3D39}">
              <a1611:picAttrSrcUrl xmlns:a1611="http://schemas.microsoft.com/office/drawing/2016/11/main" r:id="rId2"/>
            </a:ext>
          </a:extLst>
        </a:blip>
        <a:stretch>
          <a:fillRect/>
        </a:stretch>
      </xdr:blipFill>
      <xdr:spPr>
        <a:xfrm>
          <a:off x="2543175" y="66675"/>
          <a:ext cx="2124075" cy="10477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333375</xdr:colOff>
      <xdr:row>0</xdr:row>
      <xdr:rowOff>66675</xdr:rowOff>
    </xdr:from>
    <xdr:to>
      <xdr:col>3</xdr:col>
      <xdr:colOff>1085850</xdr:colOff>
      <xdr:row>5</xdr:row>
      <xdr:rowOff>153987</xdr:rowOff>
    </xdr:to>
    <xdr:pic>
      <xdr:nvPicPr>
        <xdr:cNvPr id="2" name="Imagem 1">
          <a:extLst>
            <a:ext uri="{FF2B5EF4-FFF2-40B4-BE49-F238E27FC236}">
              <a16:creationId xmlns:a16="http://schemas.microsoft.com/office/drawing/2014/main" id="{40E3BB31-88AA-4B0A-B2B9-D6FAF4E15315}"/>
            </a:ext>
            <a:ext uri="{147F2762-F138-4A5C-976F-8EAC2B608ADB}">
              <a16:predDERef xmlns:a16="http://schemas.microsoft.com/office/drawing/2014/main" pred="{966A7F80-420A-BA4F-4A34-6EDEFE9E8271}"/>
            </a:ext>
          </a:extLst>
        </xdr:cNvPr>
        <xdr:cNvPicPr>
          <a:picLocks noChangeAspect="1"/>
        </xdr:cNvPicPr>
      </xdr:nvPicPr>
      <xdr:blipFill>
        <a:blip xmlns:r="http://schemas.openxmlformats.org/officeDocument/2006/relationships" r:embed="rId1">
          <a:extLst>
            <a:ext uri="{837473B0-CC2E-450A-ABE3-18F120FF3D39}">
              <a1611:picAttrSrcUrl xmlns:a1611="http://schemas.microsoft.com/office/drawing/2016/11/main" r:id="rId2"/>
            </a:ext>
          </a:extLst>
        </a:blip>
        <a:stretch>
          <a:fillRect/>
        </a:stretch>
      </xdr:blipFill>
      <xdr:spPr>
        <a:xfrm>
          <a:off x="2543175" y="66675"/>
          <a:ext cx="2124075" cy="104933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rpa\Documents\SLDE\Manuten&#231;&#227;o%20predial\TR%20Licita&#231;&#227;o\Panilha_de_custos_e_formacao_de_precos-%20Man%20Predial%20atualizada%202022_final.xlsx" TargetMode="External"/></Relationships>
</file>

<file path=xl/externalLinks/_rels/externalLink2.xml.rels><?xml version="1.0" encoding="UTF-8" standalone="yes"?>
<Relationships xmlns="http://schemas.openxmlformats.org/package/2006/relationships"><Relationship Id="rId3" Type="http://schemas.openxmlformats.org/officeDocument/2006/relationships/externalLinkPath" Target="file:///D:\Google%20Drive%20MPF\Meu%20Drive\Documents\0%20-%20SLDE\2023\Preg&#245;es\Manuten&#231;&#227;o%20predial\Edital%20e%20Anexos%202\Edital%20e%20Anexos\ANEXO%20II%20-%20MODELO%20PROPOSTA%20E%20PLANILHA%20DE%20CUSTOS\ANEXO%20II%20-%20MODELO%20PROPOSTA%20E%20PLANILHA%20DE%20CUSTOS%20-%20PR-PA.xlsx" TargetMode="External"/><Relationship Id="rId2" Type="http://schemas.microsoft.com/office/2019/04/relationships/externalLinkLongPath" Target="/Google%20Drive%20MPF/Meu%20Drive/Documents/0%20-%20SLDE/2023/Preg&#245;es/Manuten&#231;&#227;o%20predial/Edital%20e%20Anexos%202/Edital%20e%20Anexos/ANEXO%20II%20-%20MODELO%20PROPOSTA%20E%20PLANILHA%20DE%20CUSTOS/ANEXO%20II%20-%20MODELO%20PROPOSTA%20E%20PLANILHA%20DE%20CUSTOS%20-%20PR-PA.xlsx?4321A8B7" TargetMode="External"/><Relationship Id="rId1" Type="http://schemas.openxmlformats.org/officeDocument/2006/relationships/externalLinkPath" Target="file:///\\4321A8B7\ANEXO%20II%20-%20MODELO%20PROPOSTA%20E%20PLANILHA%20DE%20CUSTOS%20-%20PR-PA.xlsx" TargetMode="External"/></Relationships>
</file>

<file path=xl/externalLinks/_rels/externalLink3.xml.rels><?xml version="1.0" encoding="UTF-8" standalone="yes"?>
<Relationships xmlns="http://schemas.openxmlformats.org/package/2006/relationships"><Relationship Id="rId2" Type="http://schemas.microsoft.com/office/2019/04/relationships/externalLinkLongPath" Target="file:///C:\Users\prpa\Documents\SLDE\Manuten&#231;&#227;o%20predial\TR%20Licita&#231;&#227;o\Users\AppData\Local\Temp\contrata&#231;&#227;o%20emergencial\TR\Vigil&#226;ncia\Users\Usuario\Documents\Vigil&#226;ncia\MODELO-PLANILHA-PADRAO-MODULOS-IN-5-2017-ALTERADA-PELA-IN-7-2018-VIGILANCIA.xlsx?98A5A81E" TargetMode="External"/><Relationship Id="rId1" Type="http://schemas.openxmlformats.org/officeDocument/2006/relationships/externalLinkPath" Target="file:///\\98A5A81E\MODELO-PLANILHA-PADRAO-MODULOS-IN-5-2017-ALTERADA-PELA-IN-7-2018-VIGILANCI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ERÇÃO-DE-DADOS"/>
      <sheetName val="DADOS-ESTATISTICOS"/>
      <sheetName val="ENCARGOS-SOCIAIS-E-TRABALHISTAS"/>
      <sheetName val="Encarregado Geral de Obras"/>
      <sheetName val="Oficial de Manutenção"/>
      <sheetName val="Auxiliar de manutenção predial "/>
      <sheetName val="Eletrotécnico"/>
      <sheetName val="Uniforme"/>
    </sheetNames>
    <sheetDataSet>
      <sheetData sheetId="0">
        <row r="1">
          <cell r="B1" t="str">
            <v>RAMO:</v>
          </cell>
        </row>
        <row r="2">
          <cell r="B2" t="str">
            <v>UNIDADE GESTORA (SIGLA):</v>
          </cell>
          <cell r="F2" t="str">
            <v>XX/XX/20XX</v>
          </cell>
        </row>
        <row r="11">
          <cell r="F11" t="str">
            <v>XX/XX/20XX</v>
          </cell>
        </row>
        <row r="12">
          <cell r="D12"/>
        </row>
        <row r="15">
          <cell r="F15">
            <v>12</v>
          </cell>
        </row>
        <row r="19">
          <cell r="E19"/>
        </row>
        <row r="23">
          <cell r="D23"/>
        </row>
        <row r="25">
          <cell r="F25"/>
        </row>
        <row r="30">
          <cell r="F30">
            <v>1901.73</v>
          </cell>
        </row>
        <row r="31">
          <cell r="F31">
            <v>30</v>
          </cell>
        </row>
        <row r="32">
          <cell r="F32"/>
        </row>
        <row r="33">
          <cell r="F33"/>
        </row>
        <row r="34">
          <cell r="C34" t="str">
            <v>Outras Remunerações 1 (Especificar)</v>
          </cell>
          <cell r="F34"/>
        </row>
        <row r="35">
          <cell r="C35" t="str">
            <v>Outras Remunerações 2 (Especificar)</v>
          </cell>
          <cell r="D35"/>
          <cell r="E35"/>
          <cell r="F35"/>
        </row>
        <row r="36">
          <cell r="C36" t="str">
            <v>Outras Remunerações 3 (Especificar)</v>
          </cell>
          <cell r="D36"/>
          <cell r="E36"/>
          <cell r="F36"/>
        </row>
        <row r="41">
          <cell r="F41">
            <v>8</v>
          </cell>
        </row>
        <row r="43">
          <cell r="F43">
            <v>22</v>
          </cell>
        </row>
        <row r="44">
          <cell r="C44" t="str">
            <v>Outros Benefícios 1 (Especificar)</v>
          </cell>
        </row>
        <row r="45">
          <cell r="C45" t="str">
            <v>Outros Benefícios 2 (Especificar)</v>
          </cell>
          <cell r="F45"/>
        </row>
        <row r="46">
          <cell r="C46" t="str">
            <v>Outros Benefícios 3 (Especificar)</v>
          </cell>
          <cell r="F46"/>
        </row>
        <row r="51">
          <cell r="C51" t="str">
            <v>Outras Ausências (Especificar - em %)</v>
          </cell>
          <cell r="F51"/>
        </row>
        <row r="55">
          <cell r="F55"/>
        </row>
        <row r="56">
          <cell r="F56"/>
        </row>
        <row r="67">
          <cell r="F67">
            <v>5.1533333333333298</v>
          </cell>
        </row>
        <row r="68">
          <cell r="F68">
            <v>5.0466666666666704</v>
          </cell>
        </row>
        <row r="69">
          <cell r="F69"/>
        </row>
        <row r="70">
          <cell r="F70"/>
        </row>
        <row r="71">
          <cell r="F71"/>
        </row>
      </sheetData>
      <sheetData sheetId="1">
        <row r="4">
          <cell r="F4">
            <v>220</v>
          </cell>
        </row>
      </sheetData>
      <sheetData sheetId="2">
        <row r="5">
          <cell r="E5">
            <v>8.3333333333333304</v>
          </cell>
        </row>
        <row r="16">
          <cell r="E16">
            <v>8</v>
          </cell>
        </row>
        <row r="17">
          <cell r="E17">
            <v>36.799999999999997</v>
          </cell>
        </row>
        <row r="21">
          <cell r="E21">
            <v>1.15572693055556</v>
          </cell>
        </row>
      </sheetData>
      <sheetData sheetId="3"/>
      <sheetData sheetId="4"/>
      <sheetData sheetId="5"/>
      <sheetData sheetId="6"/>
      <sheetData sheetId="7">
        <row r="9">
          <cell r="B9">
            <v>115.05</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MODELO PROPOSTA"/>
      <sheetName val="Cálculo do BDI"/>
      <sheetName val="Valor_Deslocamento"/>
      <sheetName val="Quantidade e valor de Diárias"/>
      <sheetName val="Encarregado Geral-Estimado"/>
      <sheetName val="Encarregado Geral"/>
      <sheetName val="Oficial de Manutenção-Estimado"/>
      <sheetName val="Oficial de Manutenção"/>
      <sheetName val="Auxiliar de Manutenção-Estimado"/>
      <sheetName val="Auxiliar de Manutenção"/>
      <sheetName val="Eletrotécnico-Estimado"/>
      <sheetName val="Eletrotécnico"/>
      <sheetName val="Uniforme"/>
      <sheetName val="Materiais de Reposição - PRPA"/>
      <sheetName val="ENCARGOS-SOCIAIS-E-TRABALHISTAS"/>
      <sheetName val="DADOS-ESTATISTICO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5">
          <cell r="F5">
            <v>7</v>
          </cell>
        </row>
        <row r="8">
          <cell r="F8">
            <v>12</v>
          </cell>
        </row>
        <row r="18">
          <cell r="F18">
            <v>62.93</v>
          </cell>
        </row>
        <row r="19">
          <cell r="F19">
            <v>5.55</v>
          </cell>
        </row>
        <row r="20">
          <cell r="F20">
            <v>40</v>
          </cell>
        </row>
        <row r="21">
          <cell r="F21">
            <v>94.45</v>
          </cell>
        </row>
        <row r="22">
          <cell r="F22">
            <v>30</v>
          </cell>
        </row>
        <row r="27">
          <cell r="F27">
            <v>8</v>
          </cell>
        </row>
        <row r="28">
          <cell r="F28">
            <v>20</v>
          </cell>
        </row>
        <row r="29">
          <cell r="F29">
            <v>1.42</v>
          </cell>
        </row>
        <row r="30">
          <cell r="F30">
            <v>45.22</v>
          </cell>
        </row>
        <row r="31">
          <cell r="F31">
            <v>0.44472535049413925</v>
          </cell>
        </row>
        <row r="32">
          <cell r="F32">
            <v>15</v>
          </cell>
        </row>
        <row r="33">
          <cell r="F33">
            <v>180</v>
          </cell>
        </row>
        <row r="34">
          <cell r="F34">
            <v>54.78</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ERÇÃO-DE-DADOS"/>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hyperlink" Target="https://www.ocupacoes.com.br/cbo-mte/341230-piloto-fluvial" TargetMode="External"/><Relationship Id="rId2" Type="http://schemas.openxmlformats.org/officeDocument/2006/relationships/hyperlink" Target="https://www.ocupacoes.com.br/cbo-mte/411010-assistente-administrativo" TargetMode="External"/><Relationship Id="rId1" Type="http://schemas.openxmlformats.org/officeDocument/2006/relationships/hyperlink" Target="https://novoportal.mpf.mp.br/unico/modulo/procedimento/painel/" TargetMode="External"/><Relationship Id="rId6" Type="http://schemas.openxmlformats.org/officeDocument/2006/relationships/comments" Target="../comments4.xml"/><Relationship Id="rId5" Type="http://schemas.openxmlformats.org/officeDocument/2006/relationships/vmlDrawing" Target="../drawings/vmlDrawing4.vml"/><Relationship Id="rId4"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9.xml.rels><?xml version="1.0" encoding="UTF-8" standalone="yes"?>
<Relationships xmlns="http://schemas.openxmlformats.org/package/2006/relationships"><Relationship Id="rId3" Type="http://schemas.openxmlformats.org/officeDocument/2006/relationships/hyperlink" Target="https://www.ocupacoes.com.br/cbo-mte/782705-marinheiro-de-conves-maritimo-e-fluviario" TargetMode="External"/><Relationship Id="rId7" Type="http://schemas.openxmlformats.org/officeDocument/2006/relationships/comments" Target="../comments3.xml"/><Relationship Id="rId2" Type="http://schemas.openxmlformats.org/officeDocument/2006/relationships/hyperlink" Target="https://www.ocupacoes.com.br/cbo-mte/411010-assistente-administrativo" TargetMode="External"/><Relationship Id="rId1" Type="http://schemas.openxmlformats.org/officeDocument/2006/relationships/hyperlink" Target="https://novoportal.mpf.mp.br/unico/modulo/procedimento/painel/" TargetMode="External"/><Relationship Id="rId6" Type="http://schemas.openxmlformats.org/officeDocument/2006/relationships/vmlDrawing" Target="../drawings/vmlDrawing3.vm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B9F784-41A0-4015-9666-41F03A3B684E}">
  <sheetPr>
    <pageSetUpPr fitToPage="1"/>
  </sheetPr>
  <dimension ref="A1:BL35"/>
  <sheetViews>
    <sheetView showGridLines="0" showRowColHeaders="0" tabSelected="1" view="pageBreakPreview" zoomScale="110" zoomScaleNormal="120" zoomScaleSheetLayoutView="110" zoomScalePageLayoutView="90" workbookViewId="0">
      <selection activeCell="C7" sqref="C7"/>
    </sheetView>
  </sheetViews>
  <sheetFormatPr defaultColWidth="8.88671875" defaultRowHeight="13.2" x14ac:dyDescent="0.25"/>
  <cols>
    <col min="1" max="1" width="7.6640625" style="85" customWidth="1"/>
    <col min="2" max="10" width="17.88671875" style="85" customWidth="1"/>
    <col min="11" max="64" width="11.6640625" style="85" customWidth="1"/>
    <col min="65" max="16384" width="8.88671875" style="85"/>
  </cols>
  <sheetData>
    <row r="1" spans="1:64" ht="12.75" customHeight="1" x14ac:dyDescent="0.25">
      <c r="A1" s="110" t="s">
        <v>334</v>
      </c>
      <c r="B1" s="110"/>
      <c r="C1" s="110"/>
      <c r="D1" s="110"/>
      <c r="E1" s="110"/>
      <c r="F1" s="110"/>
      <c r="G1" s="110"/>
      <c r="H1" s="110"/>
      <c r="I1" s="110"/>
      <c r="J1" s="110"/>
    </row>
    <row r="2" spans="1:64" ht="18" customHeight="1" x14ac:dyDescent="0.25">
      <c r="A2" s="110"/>
      <c r="B2" s="110"/>
      <c r="C2" s="110"/>
      <c r="D2" s="110"/>
      <c r="E2" s="110"/>
      <c r="F2" s="110"/>
      <c r="G2" s="110"/>
      <c r="H2" s="110"/>
      <c r="I2" s="110"/>
      <c r="J2" s="110"/>
    </row>
    <row r="4" spans="1:64" ht="17.399999999999999" x14ac:dyDescent="0.25">
      <c r="A4" s="111" t="s">
        <v>335</v>
      </c>
      <c r="B4" s="111"/>
      <c r="C4" s="111"/>
      <c r="D4" s="111"/>
      <c r="E4" s="111"/>
      <c r="F4" s="111"/>
      <c r="G4" s="111"/>
      <c r="H4" s="111"/>
      <c r="I4" s="111"/>
      <c r="J4" s="111"/>
    </row>
    <row r="8" spans="1:64" x14ac:dyDescent="0.25">
      <c r="A8" s="86"/>
      <c r="B8" s="87"/>
      <c r="C8" s="87"/>
      <c r="D8" s="87"/>
      <c r="E8" s="87"/>
      <c r="F8" s="87"/>
      <c r="G8" s="87"/>
      <c r="H8" s="87"/>
      <c r="I8" s="87"/>
      <c r="J8" s="87"/>
      <c r="K8" s="87"/>
      <c r="L8" s="87"/>
      <c r="M8" s="87"/>
      <c r="N8" s="87"/>
      <c r="O8" s="87"/>
      <c r="P8" s="87"/>
      <c r="Q8" s="87"/>
      <c r="R8" s="87"/>
      <c r="S8" s="87"/>
      <c r="T8" s="87"/>
      <c r="U8" s="87"/>
      <c r="V8" s="87"/>
      <c r="W8" s="87"/>
      <c r="X8" s="87"/>
      <c r="Y8" s="87"/>
      <c r="Z8" s="87"/>
      <c r="AA8" s="87"/>
      <c r="AB8" s="87"/>
      <c r="AC8" s="87"/>
      <c r="AD8" s="87"/>
      <c r="AE8" s="87"/>
      <c r="AF8" s="87"/>
      <c r="AG8" s="87"/>
      <c r="AH8" s="87"/>
      <c r="AI8" s="87"/>
      <c r="AJ8" s="87"/>
      <c r="AK8" s="87"/>
      <c r="AL8" s="87"/>
      <c r="AM8" s="87"/>
      <c r="AN8" s="87"/>
      <c r="AO8" s="87"/>
      <c r="AP8" s="87"/>
      <c r="AQ8" s="87"/>
      <c r="AR8" s="87"/>
      <c r="AS8" s="87"/>
      <c r="AT8" s="87"/>
      <c r="AU8" s="87"/>
      <c r="AV8" s="87"/>
      <c r="AW8" s="87"/>
      <c r="AX8" s="87"/>
      <c r="AY8" s="87"/>
      <c r="AZ8" s="87"/>
      <c r="BA8" s="87"/>
      <c r="BB8" s="87"/>
      <c r="BC8" s="87"/>
      <c r="BD8" s="87"/>
      <c r="BE8" s="87"/>
      <c r="BF8" s="87"/>
      <c r="BG8" s="87"/>
      <c r="BH8" s="87"/>
      <c r="BI8" s="87"/>
      <c r="BJ8" s="87"/>
      <c r="BK8" s="87"/>
      <c r="BL8" s="87"/>
    </row>
    <row r="9" spans="1:64" ht="12.75" customHeight="1" x14ac:dyDescent="0.25">
      <c r="A9" s="88">
        <v>1</v>
      </c>
      <c r="B9" s="107" t="s">
        <v>336</v>
      </c>
      <c r="C9" s="107"/>
      <c r="D9" s="107"/>
      <c r="E9" s="107"/>
      <c r="F9" s="107"/>
      <c r="G9" s="107"/>
      <c r="H9" s="107"/>
      <c r="I9" s="107"/>
      <c r="J9" s="107"/>
      <c r="K9" s="87"/>
      <c r="L9" s="87"/>
      <c r="M9" s="87"/>
      <c r="N9" s="87"/>
      <c r="O9" s="87"/>
      <c r="P9" s="87"/>
      <c r="Q9" s="87"/>
      <c r="R9" s="87"/>
      <c r="S9" s="87"/>
      <c r="T9" s="87"/>
      <c r="U9" s="87"/>
      <c r="V9" s="87"/>
      <c r="W9" s="87"/>
      <c r="X9" s="87"/>
      <c r="Y9" s="87"/>
      <c r="Z9" s="87"/>
      <c r="AA9" s="87"/>
      <c r="AB9" s="87"/>
      <c r="AC9" s="87"/>
      <c r="AD9" s="87"/>
      <c r="AE9" s="87"/>
      <c r="AF9" s="87"/>
      <c r="AG9" s="87"/>
      <c r="AH9" s="87"/>
      <c r="AI9" s="87"/>
      <c r="AJ9" s="87"/>
      <c r="AK9" s="87"/>
      <c r="AL9" s="87"/>
      <c r="AM9" s="87"/>
      <c r="AN9" s="87"/>
      <c r="AO9" s="87"/>
      <c r="AP9" s="87"/>
      <c r="AQ9" s="87"/>
      <c r="AR9" s="87"/>
      <c r="AS9" s="87"/>
      <c r="AT9" s="87"/>
      <c r="AU9" s="87"/>
      <c r="AV9" s="87"/>
      <c r="AW9" s="87"/>
      <c r="AX9" s="87"/>
      <c r="AY9" s="87"/>
      <c r="AZ9" s="87"/>
      <c r="BA9" s="87"/>
      <c r="BB9" s="87"/>
      <c r="BC9" s="87"/>
      <c r="BD9" s="87"/>
      <c r="BE9" s="87"/>
      <c r="BF9" s="87"/>
      <c r="BG9" s="87"/>
      <c r="BH9" s="87"/>
      <c r="BI9" s="87"/>
      <c r="BJ9" s="87"/>
      <c r="BK9" s="87"/>
      <c r="BL9" s="87"/>
    </row>
    <row r="10" spans="1:64" x14ac:dyDescent="0.25">
      <c r="A10" s="90"/>
      <c r="B10" s="90"/>
      <c r="C10" s="90"/>
      <c r="D10" s="90"/>
      <c r="E10" s="90"/>
      <c r="F10" s="90"/>
      <c r="G10" s="90"/>
      <c r="H10" s="90"/>
      <c r="I10" s="90"/>
      <c r="J10" s="90"/>
    </row>
    <row r="11" spans="1:64" ht="24.6" customHeight="1" x14ac:dyDescent="0.25">
      <c r="A11" s="88">
        <v>2</v>
      </c>
      <c r="B11" s="107" t="s">
        <v>337</v>
      </c>
      <c r="C11" s="107"/>
      <c r="D11" s="107"/>
      <c r="E11" s="107"/>
      <c r="F11" s="107"/>
      <c r="G11" s="107"/>
      <c r="H11" s="107"/>
      <c r="I11" s="107"/>
      <c r="J11" s="107"/>
    </row>
    <row r="12" spans="1:64" x14ac:dyDescent="0.25">
      <c r="A12" s="88"/>
      <c r="B12" s="91"/>
      <c r="C12" s="91"/>
      <c r="D12" s="91"/>
      <c r="E12" s="92"/>
      <c r="F12" s="93"/>
      <c r="G12" s="93"/>
      <c r="H12" s="91"/>
      <c r="I12" s="93"/>
      <c r="J12" s="93"/>
    </row>
    <row r="13" spans="1:64" ht="24.6" customHeight="1" x14ac:dyDescent="0.25">
      <c r="A13" s="88">
        <v>3</v>
      </c>
      <c r="B13" s="107" t="s">
        <v>338</v>
      </c>
      <c r="C13" s="107"/>
      <c r="D13" s="107"/>
      <c r="E13" s="107"/>
      <c r="F13" s="107"/>
      <c r="G13" s="107"/>
      <c r="H13" s="107"/>
      <c r="I13" s="107"/>
      <c r="J13" s="107"/>
    </row>
    <row r="14" spans="1:64" x14ac:dyDescent="0.25">
      <c r="A14" s="88"/>
      <c r="B14" s="91"/>
      <c r="C14" s="91"/>
      <c r="D14" s="91"/>
      <c r="E14" s="92"/>
      <c r="F14" s="93"/>
      <c r="G14" s="93"/>
      <c r="H14" s="91"/>
      <c r="I14" s="93"/>
      <c r="J14" s="93"/>
    </row>
    <row r="15" spans="1:64" ht="24.6" customHeight="1" x14ac:dyDescent="0.25">
      <c r="A15" s="88">
        <v>4</v>
      </c>
      <c r="B15" s="107" t="s">
        <v>339</v>
      </c>
      <c r="C15" s="107"/>
      <c r="D15" s="107"/>
      <c r="E15" s="107"/>
      <c r="F15" s="107"/>
      <c r="G15" s="107"/>
      <c r="H15" s="107"/>
      <c r="I15" s="107"/>
      <c r="J15" s="107"/>
    </row>
    <row r="16" spans="1:64" x14ac:dyDescent="0.25">
      <c r="A16" s="88"/>
      <c r="B16" s="89"/>
      <c r="C16" s="89"/>
      <c r="D16" s="89"/>
      <c r="E16" s="89"/>
      <c r="F16" s="89"/>
      <c r="G16" s="89"/>
      <c r="H16" s="89"/>
      <c r="I16" s="89"/>
      <c r="J16" s="89"/>
    </row>
    <row r="17" spans="1:10" ht="12.9" customHeight="1" x14ac:dyDescent="0.25">
      <c r="A17" s="88">
        <v>5</v>
      </c>
      <c r="B17" s="107" t="s">
        <v>340</v>
      </c>
      <c r="C17" s="107"/>
      <c r="D17" s="107"/>
      <c r="E17" s="107"/>
      <c r="F17" s="107"/>
      <c r="G17" s="107"/>
      <c r="H17" s="107"/>
      <c r="I17" s="107"/>
      <c r="J17" s="107"/>
    </row>
    <row r="18" spans="1:10" x14ac:dyDescent="0.25">
      <c r="A18" s="88"/>
      <c r="B18" s="91"/>
      <c r="C18" s="91"/>
      <c r="D18" s="91"/>
      <c r="E18" s="92"/>
      <c r="F18" s="93"/>
      <c r="G18" s="93"/>
      <c r="H18" s="91"/>
      <c r="I18" s="93"/>
      <c r="J18" s="93"/>
    </row>
    <row r="19" spans="1:10" ht="45" customHeight="1" x14ac:dyDescent="0.25">
      <c r="A19" s="88">
        <v>6</v>
      </c>
      <c r="B19" s="107" t="s">
        <v>341</v>
      </c>
      <c r="C19" s="107"/>
      <c r="D19" s="107"/>
      <c r="E19" s="107"/>
      <c r="F19" s="107"/>
      <c r="G19" s="107"/>
      <c r="H19" s="107"/>
      <c r="I19" s="107"/>
      <c r="J19" s="107"/>
    </row>
    <row r="20" spans="1:10" x14ac:dyDescent="0.25">
      <c r="A20" s="88"/>
      <c r="B20" s="89"/>
      <c r="C20" s="89"/>
      <c r="D20" s="89"/>
      <c r="E20" s="89"/>
      <c r="F20" s="89"/>
      <c r="G20" s="89"/>
      <c r="H20" s="89"/>
      <c r="I20" s="89"/>
      <c r="J20" s="89"/>
    </row>
    <row r="21" spans="1:10" ht="30.75" customHeight="1" x14ac:dyDescent="0.25">
      <c r="A21" s="94">
        <v>7</v>
      </c>
      <c r="B21" s="107" t="s">
        <v>342</v>
      </c>
      <c r="C21" s="107"/>
      <c r="D21" s="107"/>
      <c r="E21" s="107"/>
      <c r="F21" s="107"/>
      <c r="G21" s="107"/>
      <c r="H21" s="107"/>
      <c r="I21" s="107"/>
      <c r="J21" s="107"/>
    </row>
    <row r="23" spans="1:10" ht="27.75" customHeight="1" x14ac:dyDescent="0.25">
      <c r="A23" s="88">
        <v>8</v>
      </c>
      <c r="B23" s="107" t="s">
        <v>343</v>
      </c>
      <c r="C23" s="107"/>
      <c r="D23" s="107"/>
      <c r="E23" s="107"/>
      <c r="F23" s="107"/>
      <c r="G23" s="107"/>
      <c r="H23" s="107"/>
      <c r="I23" s="107"/>
      <c r="J23" s="107"/>
    </row>
    <row r="24" spans="1:10" ht="10.5" customHeight="1" x14ac:dyDescent="0.25"/>
    <row r="25" spans="1:10" ht="26.25" customHeight="1" x14ac:dyDescent="0.25">
      <c r="A25" s="88"/>
      <c r="B25" s="107"/>
      <c r="C25" s="107"/>
      <c r="D25" s="107"/>
      <c r="E25" s="107"/>
      <c r="F25" s="107"/>
      <c r="G25" s="107"/>
      <c r="H25" s="107"/>
      <c r="I25" s="107"/>
      <c r="J25" s="107"/>
    </row>
    <row r="26" spans="1:10" ht="14.25" customHeight="1" x14ac:dyDescent="0.25"/>
    <row r="27" spans="1:10" ht="39.75" customHeight="1" x14ac:dyDescent="0.25">
      <c r="A27" s="88"/>
      <c r="B27" s="107"/>
      <c r="C27" s="107"/>
      <c r="D27" s="107"/>
      <c r="E27" s="107"/>
      <c r="F27" s="107"/>
      <c r="G27" s="107"/>
      <c r="H27" s="107"/>
      <c r="I27" s="107"/>
      <c r="J27" s="107"/>
    </row>
    <row r="29" spans="1:10" x14ac:dyDescent="0.25">
      <c r="A29" s="88"/>
      <c r="B29" s="107"/>
      <c r="C29" s="107"/>
      <c r="D29" s="107"/>
      <c r="E29" s="107"/>
      <c r="F29" s="107"/>
      <c r="G29" s="107"/>
      <c r="H29" s="107"/>
      <c r="I29" s="107"/>
      <c r="J29" s="107"/>
    </row>
    <row r="31" spans="1:10" ht="30" customHeight="1" x14ac:dyDescent="0.25">
      <c r="A31" s="88"/>
      <c r="B31" s="107"/>
      <c r="C31" s="107"/>
      <c r="D31" s="107"/>
      <c r="E31" s="107"/>
      <c r="F31" s="107"/>
      <c r="G31" s="107"/>
      <c r="H31" s="107"/>
      <c r="I31" s="107"/>
      <c r="J31" s="107"/>
    </row>
    <row r="33" spans="1:10" ht="35.25" customHeight="1" x14ac:dyDescent="0.25">
      <c r="A33" s="88"/>
      <c r="B33" s="108"/>
      <c r="C33" s="108"/>
      <c r="D33" s="108"/>
      <c r="E33" s="108"/>
      <c r="F33" s="108"/>
      <c r="G33" s="108"/>
      <c r="H33" s="108"/>
      <c r="I33" s="108"/>
      <c r="J33" s="108"/>
    </row>
    <row r="35" spans="1:10" x14ac:dyDescent="0.25">
      <c r="A35" s="88"/>
      <c r="B35" s="109"/>
      <c r="C35" s="109"/>
      <c r="D35" s="109"/>
      <c r="E35" s="109"/>
      <c r="F35" s="109"/>
      <c r="G35" s="109"/>
      <c r="H35" s="109"/>
      <c r="I35" s="109"/>
      <c r="J35" s="109"/>
    </row>
  </sheetData>
  <mergeCells count="16">
    <mergeCell ref="B15:J15"/>
    <mergeCell ref="A1:J2"/>
    <mergeCell ref="A4:J4"/>
    <mergeCell ref="B9:J9"/>
    <mergeCell ref="B11:J11"/>
    <mergeCell ref="B13:J13"/>
    <mergeCell ref="B29:J29"/>
    <mergeCell ref="B31:J31"/>
    <mergeCell ref="B33:J33"/>
    <mergeCell ref="B35:J35"/>
    <mergeCell ref="B17:J17"/>
    <mergeCell ref="B19:J19"/>
    <mergeCell ref="B21:J21"/>
    <mergeCell ref="B23:J23"/>
    <mergeCell ref="B25:J25"/>
    <mergeCell ref="B27:J27"/>
  </mergeCells>
  <printOptions horizontalCentered="1" verticalCentered="1"/>
  <pageMargins left="0.78749999999999998" right="0.78749999999999998" top="1.2993055555555599" bottom="0.94513888888888897" header="0.78749999999999998" footer="0.78749999999999998"/>
  <pageSetup paperSize="9" scale="76" orientation="landscape" useFirstPageNumber="1" horizontalDpi="300" verticalDpi="300" r:id="rId1"/>
  <headerFooter>
    <oddHeader>&amp;RPregão Eletrônico PR/PI nº 1/2022
Anexo II - Modelo de Proposta e Planilha de Custos e Formação do Valor Estimado</oddHeader>
    <oddFooter>&amp;L&amp;A&amp;R&amp;P/&amp;N</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D79D99-C19A-46C5-B83D-C9B65561465F}">
  <dimension ref="A1:H147"/>
  <sheetViews>
    <sheetView topLeftCell="B1" zoomScale="170" zoomScaleNormal="170" workbookViewId="0">
      <selection activeCell="C10" sqref="C10:F10"/>
    </sheetView>
  </sheetViews>
  <sheetFormatPr defaultRowHeight="14.4" x14ac:dyDescent="0.3"/>
  <cols>
    <col min="1" max="1" width="14.44140625" customWidth="1"/>
    <col min="2" max="2" width="19.88671875" customWidth="1"/>
    <col min="3" max="3" width="20.5546875" customWidth="1"/>
    <col min="4" max="4" width="18.5546875" customWidth="1"/>
    <col min="5" max="5" width="18.6640625" customWidth="1"/>
    <col min="6" max="6" width="18.5546875" customWidth="1"/>
  </cols>
  <sheetData>
    <row r="1" spans="1:6" ht="15" thickTop="1" x14ac:dyDescent="0.3">
      <c r="A1" s="171"/>
      <c r="B1" s="172"/>
      <c r="C1" s="172"/>
      <c r="D1" s="172"/>
      <c r="E1" s="172"/>
      <c r="F1" s="173"/>
    </row>
    <row r="2" spans="1:6" x14ac:dyDescent="0.3">
      <c r="A2" s="174"/>
      <c r="B2" s="175"/>
      <c r="C2" s="175"/>
      <c r="D2" s="175"/>
      <c r="E2" s="175"/>
      <c r="F2" s="176"/>
    </row>
    <row r="3" spans="1:6" x14ac:dyDescent="0.3">
      <c r="A3" s="174"/>
      <c r="B3" s="175"/>
      <c r="C3" s="175"/>
      <c r="D3" s="175"/>
      <c r="E3" s="175"/>
      <c r="F3" s="176"/>
    </row>
    <row r="4" spans="1:6" x14ac:dyDescent="0.3">
      <c r="A4" s="174"/>
      <c r="B4" s="175"/>
      <c r="C4" s="175"/>
      <c r="D4" s="175"/>
      <c r="E4" s="175"/>
      <c r="F4" s="176"/>
    </row>
    <row r="5" spans="1:6" x14ac:dyDescent="0.3">
      <c r="A5" s="174"/>
      <c r="B5" s="175"/>
      <c r="C5" s="175"/>
      <c r="D5" s="175"/>
      <c r="E5" s="175"/>
      <c r="F5" s="176"/>
    </row>
    <row r="6" spans="1:6" ht="15" thickBot="1" x14ac:dyDescent="0.35">
      <c r="A6" s="174"/>
      <c r="B6" s="175"/>
      <c r="C6" s="175"/>
      <c r="D6" s="175"/>
      <c r="E6" s="175"/>
      <c r="F6" s="176"/>
    </row>
    <row r="7" spans="1:6" ht="15.6" thickTop="1" thickBot="1" x14ac:dyDescent="0.35">
      <c r="A7" s="177"/>
      <c r="B7" s="178"/>
      <c r="C7" s="178"/>
      <c r="D7" s="178"/>
      <c r="E7" s="178"/>
      <c r="F7" s="179"/>
    </row>
    <row r="8" spans="1:6" ht="15.6" thickTop="1" thickBot="1" x14ac:dyDescent="0.35">
      <c r="A8" s="180" t="s">
        <v>101</v>
      </c>
      <c r="B8" s="181"/>
      <c r="C8" s="181"/>
      <c r="D8" s="181"/>
      <c r="E8" s="181"/>
      <c r="F8" s="182"/>
    </row>
    <row r="9" spans="1:6" ht="15.6" thickTop="1" thickBot="1" x14ac:dyDescent="0.35">
      <c r="A9" s="183" t="s">
        <v>102</v>
      </c>
      <c r="B9" s="184"/>
      <c r="C9" s="185" t="s">
        <v>103</v>
      </c>
      <c r="D9" s="186"/>
      <c r="E9" s="186"/>
      <c r="F9" s="187"/>
    </row>
    <row r="10" spans="1:6" ht="15.6" thickTop="1" thickBot="1" x14ac:dyDescent="0.35">
      <c r="A10" s="188" t="s">
        <v>104</v>
      </c>
      <c r="B10" s="189"/>
      <c r="C10" s="190" t="s">
        <v>105</v>
      </c>
      <c r="D10" s="191"/>
      <c r="E10" s="191"/>
      <c r="F10" s="192"/>
    </row>
    <row r="11" spans="1:6" ht="15.6" thickTop="1" thickBot="1" x14ac:dyDescent="0.35">
      <c r="A11" s="177"/>
      <c r="B11" s="178"/>
      <c r="C11" s="178"/>
      <c r="D11" s="178"/>
      <c r="E11" s="178"/>
      <c r="F11" s="179"/>
    </row>
    <row r="12" spans="1:6" ht="15.6" thickTop="1" thickBot="1" x14ac:dyDescent="0.35">
      <c r="A12" s="180" t="s">
        <v>106</v>
      </c>
      <c r="B12" s="181"/>
      <c r="C12" s="181"/>
      <c r="D12" s="181"/>
      <c r="E12" s="181"/>
      <c r="F12" s="182"/>
    </row>
    <row r="13" spans="1:6" ht="15.6" thickTop="1" thickBot="1" x14ac:dyDescent="0.35">
      <c r="A13" s="183" t="s">
        <v>107</v>
      </c>
      <c r="B13" s="184"/>
      <c r="C13" s="190" t="s">
        <v>108</v>
      </c>
      <c r="D13" s="191"/>
      <c r="E13" s="191"/>
      <c r="F13" s="192"/>
    </row>
    <row r="14" spans="1:6" ht="15.6" thickTop="1" thickBot="1" x14ac:dyDescent="0.35">
      <c r="A14" s="188" t="s">
        <v>109</v>
      </c>
      <c r="B14" s="189"/>
      <c r="C14" s="188" t="s">
        <v>110</v>
      </c>
      <c r="D14" s="202"/>
      <c r="E14" s="202"/>
      <c r="F14" s="189"/>
    </row>
    <row r="15" spans="1:6" ht="15.6" thickTop="1" thickBot="1" x14ac:dyDescent="0.35">
      <c r="A15" s="193" t="s">
        <v>111</v>
      </c>
      <c r="B15" s="194"/>
      <c r="C15" s="199" t="s">
        <v>112</v>
      </c>
      <c r="D15" s="200"/>
      <c r="E15" s="200"/>
      <c r="F15" s="201"/>
    </row>
    <row r="16" spans="1:6" ht="15.6" thickTop="1" thickBot="1" x14ac:dyDescent="0.35">
      <c r="A16" s="195"/>
      <c r="B16" s="196"/>
      <c r="C16" s="199" t="s">
        <v>113</v>
      </c>
      <c r="D16" s="200"/>
      <c r="E16" s="200"/>
      <c r="F16" s="201"/>
    </row>
    <row r="17" spans="1:6" ht="15.6" thickTop="1" thickBot="1" x14ac:dyDescent="0.35">
      <c r="A17" s="197"/>
      <c r="B17" s="198"/>
      <c r="C17" s="199" t="s">
        <v>114</v>
      </c>
      <c r="D17" s="200"/>
      <c r="E17" s="200"/>
      <c r="F17" s="201"/>
    </row>
    <row r="18" spans="1:6" ht="15.75" customHeight="1" thickTop="1" thickBot="1" x14ac:dyDescent="0.35">
      <c r="A18" s="204" t="s">
        <v>115</v>
      </c>
      <c r="B18" s="205"/>
      <c r="C18" s="188">
        <v>12</v>
      </c>
      <c r="D18" s="202"/>
      <c r="E18" s="202"/>
      <c r="F18" s="189"/>
    </row>
    <row r="19" spans="1:6" ht="15.6" thickTop="1" thickBot="1" x14ac:dyDescent="0.35">
      <c r="A19" s="177"/>
      <c r="B19" s="178"/>
      <c r="C19" s="178"/>
      <c r="D19" s="178"/>
      <c r="E19" s="178"/>
      <c r="F19" s="179"/>
    </row>
    <row r="20" spans="1:6" ht="15.6" thickTop="1" thickBot="1" x14ac:dyDescent="0.35">
      <c r="A20" s="180" t="s">
        <v>116</v>
      </c>
      <c r="B20" s="181"/>
      <c r="C20" s="181"/>
      <c r="D20" s="181"/>
      <c r="E20" s="181"/>
      <c r="F20" s="182"/>
    </row>
    <row r="21" spans="1:6" ht="15.6" thickTop="1" thickBot="1" x14ac:dyDescent="0.35">
      <c r="A21" s="183" t="s">
        <v>117</v>
      </c>
      <c r="B21" s="184"/>
      <c r="C21" s="183" t="s">
        <v>118</v>
      </c>
      <c r="D21" s="208"/>
      <c r="E21" s="208"/>
      <c r="F21" s="184"/>
    </row>
    <row r="22" spans="1:6" ht="27" customHeight="1" thickTop="1" thickBot="1" x14ac:dyDescent="0.35">
      <c r="A22" s="204" t="s">
        <v>119</v>
      </c>
      <c r="B22" s="205"/>
      <c r="C22" s="188">
        <v>1</v>
      </c>
      <c r="D22" s="202"/>
      <c r="E22" s="202"/>
      <c r="F22" s="189"/>
    </row>
    <row r="23" spans="1:6" ht="15.6" thickTop="1" thickBot="1" x14ac:dyDescent="0.35">
      <c r="A23" s="177"/>
      <c r="B23" s="178"/>
      <c r="C23" s="178"/>
      <c r="D23" s="178"/>
      <c r="E23" s="178"/>
      <c r="F23" s="179"/>
    </row>
    <row r="24" spans="1:6" ht="15.6" thickTop="1" thickBot="1" x14ac:dyDescent="0.35">
      <c r="A24" s="180" t="s">
        <v>120</v>
      </c>
      <c r="B24" s="181"/>
      <c r="C24" s="181"/>
      <c r="D24" s="181"/>
      <c r="E24" s="181"/>
      <c r="F24" s="182"/>
    </row>
    <row r="25" spans="1:6" ht="15.6" thickTop="1" thickBot="1" x14ac:dyDescent="0.35">
      <c r="A25" s="188" t="s">
        <v>121</v>
      </c>
      <c r="B25" s="202"/>
      <c r="C25" s="202"/>
      <c r="D25" s="202"/>
      <c r="E25" s="202"/>
      <c r="F25" s="189"/>
    </row>
    <row r="26" spans="1:6" ht="21" customHeight="1" thickTop="1" thickBot="1" x14ac:dyDescent="0.35">
      <c r="A26" s="206" t="s">
        <v>122</v>
      </c>
      <c r="B26" s="207"/>
      <c r="C26" s="183" t="s">
        <v>23</v>
      </c>
      <c r="D26" s="208"/>
      <c r="E26" s="208"/>
      <c r="F26" s="184"/>
    </row>
    <row r="27" spans="1:6" ht="15.6" thickTop="1" thickBot="1" x14ac:dyDescent="0.35">
      <c r="A27" s="188" t="s">
        <v>124</v>
      </c>
      <c r="B27" s="189"/>
      <c r="C27" s="209" t="s">
        <v>246</v>
      </c>
      <c r="D27" s="256"/>
      <c r="E27" s="256"/>
      <c r="F27" s="257"/>
    </row>
    <row r="28" spans="1:6" ht="15.6" thickTop="1" thickBot="1" x14ac:dyDescent="0.35">
      <c r="A28" s="183" t="s">
        <v>126</v>
      </c>
      <c r="B28" s="184"/>
      <c r="C28" s="203">
        <f>'Salários.VA.VT.QteDias.LDI.T'!D3</f>
        <v>1694.68</v>
      </c>
      <c r="D28" s="191"/>
      <c r="E28" s="191"/>
      <c r="F28" s="192"/>
    </row>
    <row r="29" spans="1:6" ht="24.75" customHeight="1" thickTop="1" thickBot="1" x14ac:dyDescent="0.35">
      <c r="A29" s="204" t="s">
        <v>127</v>
      </c>
      <c r="B29" s="205"/>
      <c r="C29" s="188" t="s">
        <v>128</v>
      </c>
      <c r="D29" s="202"/>
      <c r="E29" s="202"/>
      <c r="F29" s="189"/>
    </row>
    <row r="30" spans="1:6" ht="15.6" thickTop="1" thickBot="1" x14ac:dyDescent="0.35">
      <c r="A30" s="183" t="s">
        <v>129</v>
      </c>
      <c r="B30" s="184"/>
      <c r="C30" s="190" t="s">
        <v>130</v>
      </c>
      <c r="D30" s="191"/>
      <c r="E30" s="191"/>
      <c r="F30" s="192"/>
    </row>
    <row r="31" spans="1:6" ht="15.6" thickTop="1" thickBot="1" x14ac:dyDescent="0.35">
      <c r="A31" s="218" t="s">
        <v>131</v>
      </c>
      <c r="B31" s="219"/>
      <c r="C31" s="219"/>
      <c r="D31" s="219"/>
      <c r="E31" s="219"/>
      <c r="F31" s="220"/>
    </row>
    <row r="32" spans="1:6" ht="15.6" thickTop="1" thickBot="1" x14ac:dyDescent="0.35">
      <c r="A32" s="180" t="s">
        <v>132</v>
      </c>
      <c r="B32" s="181"/>
      <c r="C32" s="181"/>
      <c r="D32" s="181"/>
      <c r="E32" s="181"/>
      <c r="F32" s="182"/>
    </row>
    <row r="33" spans="1:6" ht="15.6" thickTop="1" thickBot="1" x14ac:dyDescent="0.35">
      <c r="A33" s="8" t="s">
        <v>1</v>
      </c>
      <c r="B33" s="221" t="s">
        <v>133</v>
      </c>
      <c r="C33" s="222"/>
      <c r="D33" s="222"/>
      <c r="E33" s="223"/>
      <c r="F33" s="9" t="s">
        <v>134</v>
      </c>
    </row>
    <row r="34" spans="1:6" ht="15.6" thickTop="1" thickBot="1" x14ac:dyDescent="0.35">
      <c r="A34" s="10" t="s">
        <v>135</v>
      </c>
      <c r="B34" s="215" t="s">
        <v>136</v>
      </c>
      <c r="C34" s="216"/>
      <c r="D34" s="216"/>
      <c r="E34" s="217"/>
      <c r="F34" s="11">
        <f>$C$28</f>
        <v>1694.68</v>
      </c>
    </row>
    <row r="35" spans="1:6" ht="15.6" thickTop="1" thickBot="1" x14ac:dyDescent="0.35">
      <c r="A35" s="8" t="s">
        <v>137</v>
      </c>
      <c r="B35" s="212" t="s">
        <v>138</v>
      </c>
      <c r="C35" s="213"/>
      <c r="D35" s="213"/>
      <c r="E35" s="214"/>
      <c r="F35" s="103">
        <v>1602.21</v>
      </c>
    </row>
    <row r="36" spans="1:6" ht="15.6" thickTop="1" thickBot="1" x14ac:dyDescent="0.35">
      <c r="A36" s="10" t="s">
        <v>139</v>
      </c>
      <c r="B36" s="224" t="s">
        <v>140</v>
      </c>
      <c r="C36" s="225"/>
      <c r="D36" s="225"/>
      <c r="E36" s="226"/>
      <c r="F36" s="103">
        <f>TRUNC((573.85),2)</f>
        <v>573.85</v>
      </c>
    </row>
    <row r="37" spans="1:6" ht="15.6" thickTop="1" thickBot="1" x14ac:dyDescent="0.35">
      <c r="A37" s="8" t="s">
        <v>141</v>
      </c>
      <c r="B37" s="212" t="s">
        <v>142</v>
      </c>
      <c r="C37" s="213"/>
      <c r="D37" s="213"/>
      <c r="E37" s="214"/>
      <c r="F37" s="103">
        <v>2373.66</v>
      </c>
    </row>
    <row r="38" spans="1:6" ht="15.6" thickTop="1" thickBot="1" x14ac:dyDescent="0.35">
      <c r="A38" s="10" t="s">
        <v>143</v>
      </c>
      <c r="B38" s="215" t="s">
        <v>144</v>
      </c>
      <c r="C38" s="216"/>
      <c r="D38" s="216"/>
      <c r="E38" s="217"/>
      <c r="F38" s="103">
        <v>632.97</v>
      </c>
    </row>
    <row r="39" spans="1:6" ht="15.6" thickTop="1" thickBot="1" x14ac:dyDescent="0.35">
      <c r="A39" s="8" t="s">
        <v>145</v>
      </c>
      <c r="B39" s="212" t="s">
        <v>146</v>
      </c>
      <c r="C39" s="213"/>
      <c r="D39" s="213"/>
      <c r="E39" s="214"/>
      <c r="F39" s="103">
        <v>915.56</v>
      </c>
    </row>
    <row r="40" spans="1:6" ht="15.6" thickTop="1" thickBot="1" x14ac:dyDescent="0.35">
      <c r="A40" s="10" t="s">
        <v>147</v>
      </c>
      <c r="B40" s="215" t="s">
        <v>148</v>
      </c>
      <c r="C40" s="216"/>
      <c r="D40" s="216"/>
      <c r="E40" s="217"/>
      <c r="F40" s="103">
        <v>218.14</v>
      </c>
    </row>
    <row r="41" spans="1:6" ht="15.6" thickTop="1" thickBot="1" x14ac:dyDescent="0.35">
      <c r="A41" s="180" t="s">
        <v>149</v>
      </c>
      <c r="B41" s="181"/>
      <c r="C41" s="181"/>
      <c r="D41" s="181"/>
      <c r="E41" s="182"/>
      <c r="F41" s="13">
        <f>TRUNC(SUM(F34:F39),2)</f>
        <v>7792.93</v>
      </c>
    </row>
    <row r="42" spans="1:6" ht="15.6" thickTop="1" thickBot="1" x14ac:dyDescent="0.35">
      <c r="A42" s="177"/>
      <c r="B42" s="178"/>
      <c r="C42" s="178"/>
      <c r="D42" s="178"/>
      <c r="E42" s="178"/>
      <c r="F42" s="179"/>
    </row>
    <row r="43" spans="1:6" ht="15.6" thickTop="1" thickBot="1" x14ac:dyDescent="0.35">
      <c r="A43" s="180" t="s">
        <v>150</v>
      </c>
      <c r="B43" s="181"/>
      <c r="C43" s="181"/>
      <c r="D43" s="181"/>
      <c r="E43" s="181"/>
      <c r="F43" s="182"/>
    </row>
    <row r="44" spans="1:6" ht="15.6" thickTop="1" thickBot="1" x14ac:dyDescent="0.35">
      <c r="A44" s="227" t="s">
        <v>324</v>
      </c>
      <c r="B44" s="228"/>
      <c r="C44" s="228"/>
      <c r="D44" s="228"/>
      <c r="E44" s="228"/>
      <c r="F44" s="229"/>
    </row>
    <row r="45" spans="1:6" ht="15.6" thickTop="1" thickBot="1" x14ac:dyDescent="0.35">
      <c r="A45" s="8" t="s">
        <v>152</v>
      </c>
      <c r="B45" s="221" t="s">
        <v>153</v>
      </c>
      <c r="C45" s="222"/>
      <c r="D45" s="223"/>
      <c r="E45" s="9" t="s">
        <v>154</v>
      </c>
      <c r="F45" s="9" t="s">
        <v>134</v>
      </c>
    </row>
    <row r="46" spans="1:6" ht="15.6" thickTop="1" thickBot="1" x14ac:dyDescent="0.35">
      <c r="A46" s="42" t="s">
        <v>135</v>
      </c>
      <c r="B46" s="230" t="s">
        <v>155</v>
      </c>
      <c r="C46" s="230"/>
      <c r="D46" s="230"/>
      <c r="E46" s="43">
        <f>TRUNC((100/12),2)</f>
        <v>8.33</v>
      </c>
      <c r="F46" s="44">
        <f>TRUNC((F41*E46%),2)</f>
        <v>649.15</v>
      </c>
    </row>
    <row r="47" spans="1:6" ht="15.6" thickTop="1" thickBot="1" x14ac:dyDescent="0.35">
      <c r="A47" s="45" t="s">
        <v>137</v>
      </c>
      <c r="B47" s="231" t="s">
        <v>156</v>
      </c>
      <c r="C47" s="231"/>
      <c r="D47" s="231"/>
      <c r="E47" s="46">
        <f>E46/3</f>
        <v>2.7766666666666668</v>
      </c>
      <c r="F47" s="47">
        <f>TRUNC((F41*E47%),2)</f>
        <v>216.38</v>
      </c>
    </row>
    <row r="48" spans="1:6" ht="15.6" thickTop="1" thickBot="1" x14ac:dyDescent="0.35">
      <c r="A48" s="180" t="s">
        <v>157</v>
      </c>
      <c r="B48" s="181"/>
      <c r="C48" s="181"/>
      <c r="D48" s="182"/>
      <c r="E48" s="35">
        <f>SUM(E46:E47)</f>
        <v>11.106666666666667</v>
      </c>
      <c r="F48" s="13">
        <f>TRUNC((SUM(F46:F47)),2)</f>
        <v>865.53</v>
      </c>
    </row>
    <row r="49" spans="1:6" ht="15.6" thickTop="1" thickBot="1" x14ac:dyDescent="0.35">
      <c r="A49" s="227" t="s">
        <v>158</v>
      </c>
      <c r="B49" s="228"/>
      <c r="C49" s="228"/>
      <c r="D49" s="228"/>
      <c r="E49" s="228"/>
      <c r="F49" s="229"/>
    </row>
    <row r="50" spans="1:6" ht="15.6" thickTop="1" thickBot="1" x14ac:dyDescent="0.35">
      <c r="A50" s="8" t="s">
        <v>159</v>
      </c>
      <c r="B50" s="212" t="s">
        <v>160</v>
      </c>
      <c r="C50" s="213"/>
      <c r="D50" s="214"/>
      <c r="E50" s="9" t="s">
        <v>154</v>
      </c>
      <c r="F50" s="9" t="s">
        <v>134</v>
      </c>
    </row>
    <row r="51" spans="1:6" ht="15.6" thickTop="1" thickBot="1" x14ac:dyDescent="0.35">
      <c r="A51" s="42" t="s">
        <v>135</v>
      </c>
      <c r="B51" s="230" t="s">
        <v>161</v>
      </c>
      <c r="C51" s="230"/>
      <c r="D51" s="230"/>
      <c r="E51" s="48">
        <v>0.2</v>
      </c>
      <c r="F51" s="44">
        <f t="shared" ref="F51:F58" si="0">TRUNC((($F$41+$F$48)*E51),2)</f>
        <v>1731.69</v>
      </c>
    </row>
    <row r="52" spans="1:6" ht="15.6" thickTop="1" thickBot="1" x14ac:dyDescent="0.35">
      <c r="A52" s="45" t="s">
        <v>137</v>
      </c>
      <c r="B52" s="231" t="s">
        <v>162</v>
      </c>
      <c r="C52" s="231"/>
      <c r="D52" s="231"/>
      <c r="E52" s="49">
        <v>2.5000000000000001E-2</v>
      </c>
      <c r="F52" s="47">
        <f t="shared" si="0"/>
        <v>216.46</v>
      </c>
    </row>
    <row r="53" spans="1:6" ht="15.6" thickTop="1" thickBot="1" x14ac:dyDescent="0.35">
      <c r="A53" s="50" t="s">
        <v>139</v>
      </c>
      <c r="B53" s="230" t="s">
        <v>163</v>
      </c>
      <c r="C53" s="230"/>
      <c r="D53" s="230"/>
      <c r="E53" s="104">
        <v>0.03</v>
      </c>
      <c r="F53" s="44">
        <f t="shared" si="0"/>
        <v>259.75</v>
      </c>
    </row>
    <row r="54" spans="1:6" ht="15.6" thickTop="1" thickBot="1" x14ac:dyDescent="0.35">
      <c r="A54" s="45" t="s">
        <v>141</v>
      </c>
      <c r="B54" s="231" t="s">
        <v>164</v>
      </c>
      <c r="C54" s="231"/>
      <c r="D54" s="231"/>
      <c r="E54" s="49">
        <v>1.4999999999999999E-2</v>
      </c>
      <c r="F54" s="47">
        <f t="shared" si="0"/>
        <v>129.87</v>
      </c>
    </row>
    <row r="55" spans="1:6" ht="15.6" thickTop="1" thickBot="1" x14ac:dyDescent="0.35">
      <c r="A55" s="42" t="s">
        <v>143</v>
      </c>
      <c r="B55" s="230" t="s">
        <v>165</v>
      </c>
      <c r="C55" s="230"/>
      <c r="D55" s="230"/>
      <c r="E55" s="48">
        <v>0.01</v>
      </c>
      <c r="F55" s="44">
        <f t="shared" si="0"/>
        <v>86.58</v>
      </c>
    </row>
    <row r="56" spans="1:6" ht="15.6" thickTop="1" thickBot="1" x14ac:dyDescent="0.35">
      <c r="A56" s="45" t="s">
        <v>145</v>
      </c>
      <c r="B56" s="231" t="s">
        <v>166</v>
      </c>
      <c r="C56" s="231"/>
      <c r="D56" s="231"/>
      <c r="E56" s="49">
        <v>6.0000000000000001E-3</v>
      </c>
      <c r="F56" s="47">
        <f t="shared" si="0"/>
        <v>51.95</v>
      </c>
    </row>
    <row r="57" spans="1:6" ht="15.6" thickTop="1" thickBot="1" x14ac:dyDescent="0.35">
      <c r="A57" s="42" t="s">
        <v>147</v>
      </c>
      <c r="B57" s="230" t="s">
        <v>167</v>
      </c>
      <c r="C57" s="230"/>
      <c r="D57" s="230"/>
      <c r="E57" s="48">
        <v>2E-3</v>
      </c>
      <c r="F57" s="44">
        <f t="shared" si="0"/>
        <v>17.309999999999999</v>
      </c>
    </row>
    <row r="58" spans="1:6" ht="15.6" thickTop="1" thickBot="1" x14ac:dyDescent="0.35">
      <c r="A58" s="45" t="s">
        <v>168</v>
      </c>
      <c r="B58" s="231" t="s">
        <v>169</v>
      </c>
      <c r="C58" s="231"/>
      <c r="D58" s="231"/>
      <c r="E58" s="49">
        <v>0.08</v>
      </c>
      <c r="F58" s="47">
        <f t="shared" si="0"/>
        <v>692.67</v>
      </c>
    </row>
    <row r="59" spans="1:6" ht="15.6" thickTop="1" thickBot="1" x14ac:dyDescent="0.35">
      <c r="A59" s="180" t="s">
        <v>170</v>
      </c>
      <c r="B59" s="181"/>
      <c r="C59" s="181"/>
      <c r="D59" s="182"/>
      <c r="E59" s="16">
        <f>SUM(E51:E58)</f>
        <v>0.36800000000000005</v>
      </c>
      <c r="F59" s="13">
        <f>TRUNC((SUM(F51:F58)),2)</f>
        <v>3186.28</v>
      </c>
    </row>
    <row r="60" spans="1:6" ht="15.6" thickTop="1" thickBot="1" x14ac:dyDescent="0.35">
      <c r="A60" s="227" t="s">
        <v>171</v>
      </c>
      <c r="B60" s="228"/>
      <c r="C60" s="228"/>
      <c r="D60" s="228"/>
      <c r="E60" s="228"/>
      <c r="F60" s="229"/>
    </row>
    <row r="61" spans="1:6" ht="15.6" thickTop="1" thickBot="1" x14ac:dyDescent="0.35">
      <c r="A61" s="17" t="s">
        <v>172</v>
      </c>
      <c r="B61" s="227" t="s">
        <v>173</v>
      </c>
      <c r="C61" s="228"/>
      <c r="D61" s="228"/>
      <c r="E61" s="228"/>
      <c r="F61" s="229"/>
    </row>
    <row r="62" spans="1:6" ht="15.6" thickTop="1" thickBot="1" x14ac:dyDescent="0.35">
      <c r="A62" s="232" t="s">
        <v>135</v>
      </c>
      <c r="B62" s="8" t="s">
        <v>174</v>
      </c>
      <c r="C62" s="8" t="s">
        <v>175</v>
      </c>
      <c r="D62" s="8" t="s">
        <v>176</v>
      </c>
      <c r="E62" s="8" t="s">
        <v>177</v>
      </c>
      <c r="F62" s="8" t="s">
        <v>134</v>
      </c>
    </row>
    <row r="63" spans="1:6" ht="15.6" thickTop="1" thickBot="1" x14ac:dyDescent="0.35">
      <c r="A63" s="233"/>
      <c r="B63" s="12">
        <f>'Salários.VA.VT.QteDias.LDI.T'!C19</f>
        <v>4</v>
      </c>
      <c r="C63" s="8">
        <v>2</v>
      </c>
      <c r="D63" s="8">
        <f>'Salários.VA.VT.QteDias.LDI.T'!C34</f>
        <v>1</v>
      </c>
      <c r="E63" s="12">
        <f>TRUNC(($F$34*6%),2)</f>
        <v>101.68</v>
      </c>
      <c r="F63" s="12">
        <f>TRUNC(IF(E63&gt;=8,0,((B63*C63*D63)-E63)),2)</f>
        <v>0</v>
      </c>
    </row>
    <row r="64" spans="1:6" ht="15.6" thickTop="1" thickBot="1" x14ac:dyDescent="0.35">
      <c r="A64" s="234" t="s">
        <v>137</v>
      </c>
      <c r="B64" s="236" t="s">
        <v>316</v>
      </c>
      <c r="C64" s="237"/>
      <c r="D64" s="10" t="s">
        <v>176</v>
      </c>
      <c r="E64" s="10" t="s">
        <v>177</v>
      </c>
      <c r="F64" s="10" t="s">
        <v>134</v>
      </c>
    </row>
    <row r="65" spans="1:8" ht="15.6" thickTop="1" thickBot="1" x14ac:dyDescent="0.35">
      <c r="A65" s="235"/>
      <c r="B65" s="238">
        <f>'Salários.VA.VT.QteDias.LDI.T'!B19</f>
        <v>26.53</v>
      </c>
      <c r="C65" s="237"/>
      <c r="D65" s="10">
        <f>'Salários.VA.VT.QteDias.LDI.T'!C34</f>
        <v>1</v>
      </c>
      <c r="E65" s="11">
        <f>TRUNC(0.1*(B65*D65),2)</f>
        <v>2.65</v>
      </c>
      <c r="F65" s="11">
        <f>TRUNC(((B65*D65)-E65),2)</f>
        <v>23.88</v>
      </c>
    </row>
    <row r="66" spans="1:8" ht="15.6" thickTop="1" thickBot="1" x14ac:dyDescent="0.35">
      <c r="A66" s="232" t="s">
        <v>139</v>
      </c>
      <c r="B66" s="258" t="s">
        <v>178</v>
      </c>
      <c r="C66" s="258"/>
      <c r="D66" s="258"/>
      <c r="E66" s="258"/>
      <c r="F66" s="8" t="s">
        <v>134</v>
      </c>
    </row>
    <row r="67" spans="1:8" ht="15.6" thickTop="1" thickBot="1" x14ac:dyDescent="0.35">
      <c r="A67" s="233"/>
      <c r="B67" s="258"/>
      <c r="C67" s="258"/>
      <c r="D67" s="258"/>
      <c r="E67" s="258"/>
      <c r="F67" s="103">
        <v>0</v>
      </c>
    </row>
    <row r="68" spans="1:8" ht="15.6" thickTop="1" thickBot="1" x14ac:dyDescent="0.35">
      <c r="A68" s="234" t="s">
        <v>141</v>
      </c>
      <c r="B68" s="259" t="s">
        <v>179</v>
      </c>
      <c r="C68" s="259"/>
      <c r="D68" s="259"/>
      <c r="E68" s="259"/>
      <c r="F68" s="10" t="s">
        <v>134</v>
      </c>
    </row>
    <row r="69" spans="1:8" ht="15.6" thickTop="1" thickBot="1" x14ac:dyDescent="0.35">
      <c r="A69" s="235"/>
      <c r="B69" s="259"/>
      <c r="C69" s="259"/>
      <c r="D69" s="259"/>
      <c r="E69" s="259"/>
      <c r="F69" s="103">
        <v>0</v>
      </c>
    </row>
    <row r="70" spans="1:8" ht="15.6" thickTop="1" thickBot="1" x14ac:dyDescent="0.35">
      <c r="A70" s="232" t="s">
        <v>143</v>
      </c>
      <c r="B70" s="258" t="s">
        <v>180</v>
      </c>
      <c r="C70" s="258"/>
      <c r="D70" s="258"/>
      <c r="E70" s="258"/>
      <c r="F70" s="8" t="s">
        <v>134</v>
      </c>
    </row>
    <row r="71" spans="1:8" ht="15.6" thickTop="1" thickBot="1" x14ac:dyDescent="0.35">
      <c r="A71" s="233"/>
      <c r="B71" s="258"/>
      <c r="C71" s="258"/>
      <c r="D71" s="258"/>
      <c r="E71" s="258"/>
      <c r="F71" s="103">
        <v>0</v>
      </c>
    </row>
    <row r="72" spans="1:8" ht="15.6" thickTop="1" thickBot="1" x14ac:dyDescent="0.35">
      <c r="A72" s="180" t="s">
        <v>181</v>
      </c>
      <c r="B72" s="181"/>
      <c r="C72" s="181"/>
      <c r="D72" s="181"/>
      <c r="E72" s="182"/>
      <c r="F72" s="13">
        <f>TRUNC(SUM(F63,F65,F67,F69,F71),2)</f>
        <v>23.88</v>
      </c>
    </row>
    <row r="73" spans="1:8" ht="15.6" thickTop="1" thickBot="1" x14ac:dyDescent="0.35">
      <c r="A73" s="227" t="s">
        <v>182</v>
      </c>
      <c r="B73" s="228"/>
      <c r="C73" s="228"/>
      <c r="D73" s="228"/>
      <c r="E73" s="228"/>
      <c r="F73" s="229"/>
    </row>
    <row r="74" spans="1:8" ht="15.6" thickTop="1" thickBot="1" x14ac:dyDescent="0.35">
      <c r="A74" s="8" t="s">
        <v>183</v>
      </c>
      <c r="B74" s="212" t="s">
        <v>184</v>
      </c>
      <c r="C74" s="213"/>
      <c r="D74" s="213"/>
      <c r="E74" s="214"/>
      <c r="F74" s="8" t="s">
        <v>134</v>
      </c>
      <c r="H74" s="1"/>
    </row>
    <row r="75" spans="1:8" ht="15.6" thickTop="1" thickBot="1" x14ac:dyDescent="0.35">
      <c r="A75" s="10" t="s">
        <v>152</v>
      </c>
      <c r="B75" s="215" t="s">
        <v>185</v>
      </c>
      <c r="C75" s="216"/>
      <c r="D75" s="216"/>
      <c r="E75" s="217"/>
      <c r="F75" s="11">
        <f>$F$48</f>
        <v>865.53</v>
      </c>
    </row>
    <row r="76" spans="1:8" ht="15.6" thickTop="1" thickBot="1" x14ac:dyDescent="0.35">
      <c r="A76" s="8" t="s">
        <v>159</v>
      </c>
      <c r="B76" s="212" t="s">
        <v>186</v>
      </c>
      <c r="C76" s="213"/>
      <c r="D76" s="213"/>
      <c r="E76" s="214"/>
      <c r="F76" s="12">
        <f>$F$59</f>
        <v>3186.28</v>
      </c>
    </row>
    <row r="77" spans="1:8" ht="15.6" thickTop="1" thickBot="1" x14ac:dyDescent="0.35">
      <c r="A77" s="10" t="s">
        <v>172</v>
      </c>
      <c r="B77" s="215" t="s">
        <v>173</v>
      </c>
      <c r="C77" s="216"/>
      <c r="D77" s="216"/>
      <c r="E77" s="217"/>
      <c r="F77" s="11">
        <f>$F$72</f>
        <v>23.88</v>
      </c>
    </row>
    <row r="78" spans="1:8" ht="15.6" thickTop="1" thickBot="1" x14ac:dyDescent="0.35">
      <c r="A78" s="180" t="s">
        <v>187</v>
      </c>
      <c r="B78" s="181"/>
      <c r="C78" s="181"/>
      <c r="D78" s="181"/>
      <c r="E78" s="182"/>
      <c r="F78" s="13">
        <f>TRUNC(SUM(F75:F77),2)</f>
        <v>4075.69</v>
      </c>
    </row>
    <row r="79" spans="1:8" ht="15.6" thickTop="1" thickBot="1" x14ac:dyDescent="0.35">
      <c r="A79" s="177"/>
      <c r="B79" s="178"/>
      <c r="C79" s="178"/>
      <c r="D79" s="178"/>
      <c r="E79" s="178"/>
      <c r="F79" s="179"/>
    </row>
    <row r="80" spans="1:8" ht="15.6" thickTop="1" thickBot="1" x14ac:dyDescent="0.35">
      <c r="A80" s="260" t="s">
        <v>188</v>
      </c>
      <c r="B80" s="260"/>
      <c r="C80" s="260"/>
      <c r="D80" s="260"/>
      <c r="E80" s="260"/>
      <c r="F80" s="260"/>
    </row>
    <row r="81" spans="1:6" ht="15.6" thickTop="1" thickBot="1" x14ac:dyDescent="0.35">
      <c r="A81" s="8">
        <v>3</v>
      </c>
      <c r="B81" s="212" t="s">
        <v>189</v>
      </c>
      <c r="C81" s="213"/>
      <c r="D81" s="214"/>
      <c r="E81" s="9" t="s">
        <v>154</v>
      </c>
      <c r="F81" s="9" t="s">
        <v>134</v>
      </c>
    </row>
    <row r="82" spans="1:6" ht="15.6" thickTop="1" thickBot="1" x14ac:dyDescent="0.35">
      <c r="A82" s="42" t="s">
        <v>135</v>
      </c>
      <c r="B82" s="230" t="s">
        <v>190</v>
      </c>
      <c r="C82" s="230"/>
      <c r="D82" s="230"/>
      <c r="E82" s="104">
        <f>(56.24%)*5.55%*(1/12)</f>
        <v>2.6010999999999999E-3</v>
      </c>
      <c r="F82" s="44">
        <f>TRUNC((($F$41+$F$48)*E82),2)</f>
        <v>22.52</v>
      </c>
    </row>
    <row r="83" spans="1:6" ht="15.6" thickTop="1" thickBot="1" x14ac:dyDescent="0.35">
      <c r="A83" s="45" t="s">
        <v>137</v>
      </c>
      <c r="B83" s="239" t="s">
        <v>319</v>
      </c>
      <c r="C83" s="240"/>
      <c r="D83" s="241"/>
      <c r="E83" s="105">
        <f>(8%*0.29%)</f>
        <v>2.32E-4</v>
      </c>
      <c r="F83" s="52">
        <f>TRUNC((($F$41+$F$48)*E83),2)</f>
        <v>2</v>
      </c>
    </row>
    <row r="84" spans="1:6" ht="15.6" thickTop="1" thickBot="1" x14ac:dyDescent="0.35">
      <c r="A84" s="42" t="s">
        <v>139</v>
      </c>
      <c r="B84" s="242" t="s">
        <v>320</v>
      </c>
      <c r="C84" s="243"/>
      <c r="D84" s="244"/>
      <c r="E84" s="104">
        <f>(56.24%)*5.55%*40%*8%</f>
        <v>9.9882240000000004E-4</v>
      </c>
      <c r="F84" s="44">
        <f>TRUNC((($F$41+$F$48)*E84),2)</f>
        <v>8.64</v>
      </c>
    </row>
    <row r="85" spans="1:6" ht="15.6" thickTop="1" thickBot="1" x14ac:dyDescent="0.35">
      <c r="A85" s="45" t="s">
        <v>141</v>
      </c>
      <c r="B85" s="231" t="s">
        <v>191</v>
      </c>
      <c r="C85" s="231"/>
      <c r="D85" s="231"/>
      <c r="E85" s="105">
        <f>((56.24%)*94.45%*(7/30)/12)</f>
        <v>1.0328632222222222E-2</v>
      </c>
      <c r="F85" s="52">
        <f>TRUNC((($F$41+$F$48)*E85),2)</f>
        <v>89.43</v>
      </c>
    </row>
    <row r="86" spans="1:6" ht="15.6" thickTop="1" thickBot="1" x14ac:dyDescent="0.35">
      <c r="A86" s="44" t="s">
        <v>143</v>
      </c>
      <c r="B86" s="245" t="s">
        <v>317</v>
      </c>
      <c r="C86" s="246"/>
      <c r="D86" s="247"/>
      <c r="E86" s="104">
        <f>1.03%*36.8%</f>
        <v>3.7904000000000002E-3</v>
      </c>
      <c r="F86" s="44">
        <f>TRUNC((($F$41+$F$48)*E86),2)</f>
        <v>32.81</v>
      </c>
    </row>
    <row r="87" spans="1:6" ht="15.6" thickTop="1" thickBot="1" x14ac:dyDescent="0.35">
      <c r="A87" s="45" t="s">
        <v>145</v>
      </c>
      <c r="B87" s="239" t="s">
        <v>318</v>
      </c>
      <c r="C87" s="240"/>
      <c r="D87" s="241"/>
      <c r="E87" s="105">
        <f>(56.24%)*94.45%*40%*8%</f>
        <v>1.6997977600000002E-2</v>
      </c>
      <c r="F87" s="52">
        <f>TRUNC((($F$41+F48)*E87),2)</f>
        <v>147.16999999999999</v>
      </c>
    </row>
    <row r="88" spans="1:6" ht="15.6" thickTop="1" thickBot="1" x14ac:dyDescent="0.35">
      <c r="A88" s="180" t="s">
        <v>192</v>
      </c>
      <c r="B88" s="181"/>
      <c r="C88" s="181"/>
      <c r="D88" s="182"/>
      <c r="E88" s="16">
        <f>SUM(E82:E87)</f>
        <v>3.4948932222222229E-2</v>
      </c>
      <c r="F88" s="13">
        <f>TRUNC(SUM(F82:F87),2)</f>
        <v>302.57</v>
      </c>
    </row>
    <row r="89" spans="1:6" ht="15.6" thickTop="1" thickBot="1" x14ac:dyDescent="0.35">
      <c r="A89" s="177"/>
      <c r="B89" s="178"/>
      <c r="C89" s="178"/>
      <c r="D89" s="178"/>
      <c r="E89" s="178"/>
      <c r="F89" s="179"/>
    </row>
    <row r="90" spans="1:6" ht="15.6" thickTop="1" thickBot="1" x14ac:dyDescent="0.35">
      <c r="A90" s="180" t="s">
        <v>193</v>
      </c>
      <c r="B90" s="181"/>
      <c r="C90" s="181"/>
      <c r="D90" s="181"/>
      <c r="E90" s="181"/>
      <c r="F90" s="182"/>
    </row>
    <row r="91" spans="1:6" ht="15.6" thickTop="1" thickBot="1" x14ac:dyDescent="0.35">
      <c r="A91" s="227" t="s">
        <v>194</v>
      </c>
      <c r="B91" s="228"/>
      <c r="C91" s="228"/>
      <c r="D91" s="228"/>
      <c r="E91" s="228"/>
      <c r="F91" s="229"/>
    </row>
    <row r="92" spans="1:6" ht="15.6" thickTop="1" thickBot="1" x14ac:dyDescent="0.35">
      <c r="A92" s="8" t="s">
        <v>195</v>
      </c>
      <c r="B92" s="212" t="s">
        <v>196</v>
      </c>
      <c r="C92" s="213"/>
      <c r="D92" s="214"/>
      <c r="E92" s="9" t="s">
        <v>154</v>
      </c>
      <c r="F92" s="9" t="s">
        <v>134</v>
      </c>
    </row>
    <row r="93" spans="1:6" ht="15.6" thickTop="1" thickBot="1" x14ac:dyDescent="0.35">
      <c r="A93" s="42" t="s">
        <v>135</v>
      </c>
      <c r="B93" s="230" t="s">
        <v>325</v>
      </c>
      <c r="C93" s="230"/>
      <c r="D93" s="230"/>
      <c r="E93" s="48"/>
      <c r="F93" s="53">
        <f t="shared" ref="F93:F98" si="1">TRUNC((($F$41+$F$78)*E93),2)</f>
        <v>0</v>
      </c>
    </row>
    <row r="94" spans="1:6" ht="15.6" thickTop="1" thickBot="1" x14ac:dyDescent="0.35">
      <c r="A94" s="45" t="s">
        <v>137</v>
      </c>
      <c r="B94" s="231" t="s">
        <v>326</v>
      </c>
      <c r="C94" s="231"/>
      <c r="D94" s="231"/>
      <c r="E94" s="105">
        <f>(8/30)/12</f>
        <v>2.2222222222222223E-2</v>
      </c>
      <c r="F94" s="52">
        <f t="shared" si="1"/>
        <v>263.74</v>
      </c>
    </row>
    <row r="95" spans="1:6" ht="15.6" thickTop="1" thickBot="1" x14ac:dyDescent="0.35">
      <c r="A95" s="42" t="s">
        <v>139</v>
      </c>
      <c r="B95" s="230" t="s">
        <v>327</v>
      </c>
      <c r="C95" s="230"/>
      <c r="D95" s="230"/>
      <c r="E95" s="104">
        <f>(((20/30)/12)*1.416%*45.22%)</f>
        <v>3.557306666666666E-4</v>
      </c>
      <c r="F95" s="53">
        <f t="shared" si="1"/>
        <v>4.22</v>
      </c>
    </row>
    <row r="96" spans="1:6" ht="15.6" thickTop="1" thickBot="1" x14ac:dyDescent="0.35">
      <c r="A96" s="45" t="s">
        <v>141</v>
      </c>
      <c r="B96" s="231" t="s">
        <v>328</v>
      </c>
      <c r="C96" s="231"/>
      <c r="D96" s="231"/>
      <c r="E96" s="105">
        <f>((15/30)/12)*0.44%</f>
        <v>1.8333333333333334E-4</v>
      </c>
      <c r="F96" s="52">
        <f t="shared" si="1"/>
        <v>2.17</v>
      </c>
    </row>
    <row r="97" spans="1:6" ht="15.6" thickTop="1" thickBot="1" x14ac:dyDescent="0.35">
      <c r="A97" s="42" t="s">
        <v>143</v>
      </c>
      <c r="B97" s="230" t="s">
        <v>329</v>
      </c>
      <c r="C97" s="230"/>
      <c r="D97" s="230"/>
      <c r="E97" s="104">
        <f>(((180/30)/12*1.416%*54.78%*36.8%))</f>
        <v>1.4272600319999999E-3</v>
      </c>
      <c r="F97" s="53">
        <f t="shared" si="1"/>
        <v>16.93</v>
      </c>
    </row>
    <row r="98" spans="1:6" ht="15.6" thickTop="1" thickBot="1" x14ac:dyDescent="0.35">
      <c r="A98" s="45" t="s">
        <v>145</v>
      </c>
      <c r="B98" s="231" t="s">
        <v>330</v>
      </c>
      <c r="C98" s="231"/>
      <c r="D98" s="231"/>
      <c r="E98" s="105">
        <v>0</v>
      </c>
      <c r="F98" s="52">
        <f t="shared" si="1"/>
        <v>0</v>
      </c>
    </row>
    <row r="99" spans="1:6" ht="15.6" thickTop="1" thickBot="1" x14ac:dyDescent="0.35">
      <c r="A99" s="180" t="s">
        <v>203</v>
      </c>
      <c r="B99" s="181"/>
      <c r="C99" s="181"/>
      <c r="D99" s="182"/>
      <c r="E99" s="16">
        <f>SUM(E93:E98)</f>
        <v>2.4188546254222225E-2</v>
      </c>
      <c r="F99" s="13">
        <f>TRUNC(SUM(F93:F98),2)</f>
        <v>287.06</v>
      </c>
    </row>
    <row r="100" spans="1:6" ht="15.6" thickTop="1" thickBot="1" x14ac:dyDescent="0.35">
      <c r="A100" s="227" t="s">
        <v>204</v>
      </c>
      <c r="B100" s="228"/>
      <c r="C100" s="228"/>
      <c r="D100" s="228"/>
      <c r="E100" s="228"/>
      <c r="F100" s="229"/>
    </row>
    <row r="101" spans="1:6" ht="15.6" thickTop="1" thickBot="1" x14ac:dyDescent="0.35">
      <c r="A101" s="8" t="s">
        <v>205</v>
      </c>
      <c r="B101" s="212" t="s">
        <v>206</v>
      </c>
      <c r="C101" s="213"/>
      <c r="D101" s="214"/>
      <c r="E101" s="9" t="s">
        <v>154</v>
      </c>
      <c r="F101" s="9" t="s">
        <v>134</v>
      </c>
    </row>
    <row r="102" spans="1:6" ht="15.6" thickTop="1" thickBot="1" x14ac:dyDescent="0.35">
      <c r="A102" s="42" t="s">
        <v>135</v>
      </c>
      <c r="B102" s="230" t="s">
        <v>331</v>
      </c>
      <c r="C102" s="230"/>
      <c r="D102" s="230"/>
      <c r="E102" s="54" t="s">
        <v>208</v>
      </c>
      <c r="F102" s="44">
        <v>0</v>
      </c>
    </row>
    <row r="103" spans="1:6" ht="15.6" thickTop="1" thickBot="1" x14ac:dyDescent="0.35">
      <c r="A103" s="227" t="s">
        <v>209</v>
      </c>
      <c r="B103" s="228"/>
      <c r="C103" s="228"/>
      <c r="D103" s="228"/>
      <c r="E103" s="228"/>
      <c r="F103" s="248"/>
    </row>
    <row r="104" spans="1:6" ht="15.6" thickTop="1" thickBot="1" x14ac:dyDescent="0.35">
      <c r="A104" s="8" t="s">
        <v>210</v>
      </c>
      <c r="B104" s="212" t="s">
        <v>211</v>
      </c>
      <c r="C104" s="213"/>
      <c r="D104" s="213"/>
      <c r="E104" s="214"/>
      <c r="F104" s="9" t="s">
        <v>134</v>
      </c>
    </row>
    <row r="105" spans="1:6" ht="15.6" thickTop="1" thickBot="1" x14ac:dyDescent="0.35">
      <c r="A105" s="10" t="s">
        <v>195</v>
      </c>
      <c r="B105" s="215" t="s">
        <v>196</v>
      </c>
      <c r="C105" s="216"/>
      <c r="D105" s="216"/>
      <c r="E105" s="217"/>
      <c r="F105" s="11">
        <f>$F$99</f>
        <v>287.06</v>
      </c>
    </row>
    <row r="106" spans="1:6" ht="15.6" thickTop="1" thickBot="1" x14ac:dyDescent="0.35">
      <c r="A106" s="8" t="s">
        <v>205</v>
      </c>
      <c r="B106" s="212" t="s">
        <v>206</v>
      </c>
      <c r="C106" s="213"/>
      <c r="D106" s="213"/>
      <c r="E106" s="214"/>
      <c r="F106" s="12">
        <v>0</v>
      </c>
    </row>
    <row r="107" spans="1:6" ht="15.6" thickTop="1" thickBot="1" x14ac:dyDescent="0.35">
      <c r="A107" s="180" t="s">
        <v>212</v>
      </c>
      <c r="B107" s="181"/>
      <c r="C107" s="181"/>
      <c r="D107" s="181"/>
      <c r="E107" s="182"/>
      <c r="F107" s="13">
        <f>TRUNC(SUM(F105+F106),2)</f>
        <v>287.06</v>
      </c>
    </row>
    <row r="108" spans="1:6" ht="15.6" thickTop="1" thickBot="1" x14ac:dyDescent="0.35">
      <c r="A108" s="177"/>
      <c r="B108" s="178"/>
      <c r="C108" s="178"/>
      <c r="D108" s="178"/>
      <c r="E108" s="178"/>
      <c r="F108" s="179"/>
    </row>
    <row r="109" spans="1:6" ht="15.6" thickTop="1" thickBot="1" x14ac:dyDescent="0.35">
      <c r="A109" s="180" t="s">
        <v>213</v>
      </c>
      <c r="B109" s="181"/>
      <c r="C109" s="181"/>
      <c r="D109" s="181"/>
      <c r="E109" s="181"/>
      <c r="F109" s="182"/>
    </row>
    <row r="110" spans="1:6" ht="15.6" thickTop="1" thickBot="1" x14ac:dyDescent="0.35">
      <c r="A110" s="8">
        <v>5</v>
      </c>
      <c r="B110" s="212" t="s">
        <v>214</v>
      </c>
      <c r="C110" s="213"/>
      <c r="D110" s="213"/>
      <c r="E110" s="214"/>
      <c r="F110" s="9" t="s">
        <v>134</v>
      </c>
    </row>
    <row r="111" spans="1:6" ht="15.6" thickTop="1" thickBot="1" x14ac:dyDescent="0.35">
      <c r="A111" s="10" t="s">
        <v>135</v>
      </c>
      <c r="B111" s="215" t="s">
        <v>9</v>
      </c>
      <c r="C111" s="216"/>
      <c r="D111" s="216"/>
      <c r="E111" s="217"/>
      <c r="F111" s="11">
        <f>Unif!I19</f>
        <v>29.34</v>
      </c>
    </row>
    <row r="112" spans="1:6" ht="15.6" thickTop="1" thickBot="1" x14ac:dyDescent="0.35">
      <c r="A112" s="8" t="s">
        <v>137</v>
      </c>
      <c r="B112" s="212" t="s">
        <v>215</v>
      </c>
      <c r="C112" s="213"/>
      <c r="D112" s="213"/>
      <c r="E112" s="214"/>
      <c r="F112" s="12">
        <v>0</v>
      </c>
    </row>
    <row r="113" spans="1:6" ht="15.6" thickTop="1" thickBot="1" x14ac:dyDescent="0.35">
      <c r="A113" s="10" t="s">
        <v>139</v>
      </c>
      <c r="B113" s="215" t="s">
        <v>332</v>
      </c>
      <c r="C113" s="216"/>
      <c r="D113" s="216"/>
      <c r="E113" s="217"/>
      <c r="F113" s="58"/>
    </row>
    <row r="114" spans="1:6" ht="15.6" thickTop="1" thickBot="1" x14ac:dyDescent="0.35">
      <c r="A114" s="45" t="s">
        <v>141</v>
      </c>
      <c r="B114" s="261" t="s">
        <v>333</v>
      </c>
      <c r="C114" s="262"/>
      <c r="D114" s="262"/>
      <c r="E114" s="263"/>
      <c r="F114" s="12">
        <f>EPIs!F15</f>
        <v>36.08</v>
      </c>
    </row>
    <row r="115" spans="1:6" ht="15.6" thickTop="1" thickBot="1" x14ac:dyDescent="0.35">
      <c r="A115" s="180" t="s">
        <v>218</v>
      </c>
      <c r="B115" s="181"/>
      <c r="C115" s="181"/>
      <c r="D115" s="181"/>
      <c r="E115" s="182"/>
      <c r="F115" s="13">
        <f>TRUNC(SUM(F111:F114),2)</f>
        <v>65.42</v>
      </c>
    </row>
    <row r="116" spans="1:6" ht="15.6" thickTop="1" thickBot="1" x14ac:dyDescent="0.35">
      <c r="A116" s="177"/>
      <c r="B116" s="178"/>
      <c r="C116" s="178"/>
      <c r="D116" s="178"/>
      <c r="E116" s="178"/>
      <c r="F116" s="179"/>
    </row>
    <row r="117" spans="1:6" ht="15.6" thickTop="1" thickBot="1" x14ac:dyDescent="0.35">
      <c r="A117" s="180" t="s">
        <v>219</v>
      </c>
      <c r="B117" s="181"/>
      <c r="C117" s="181"/>
      <c r="D117" s="181"/>
      <c r="E117" s="181"/>
      <c r="F117" s="182"/>
    </row>
    <row r="118" spans="1:6" ht="15.6" thickTop="1" thickBot="1" x14ac:dyDescent="0.35">
      <c r="A118" s="183" t="s">
        <v>220</v>
      </c>
      <c r="B118" s="208"/>
      <c r="C118" s="208"/>
      <c r="D118" s="184"/>
      <c r="E118" s="9" t="s">
        <v>154</v>
      </c>
      <c r="F118" s="55" t="s">
        <v>134</v>
      </c>
    </row>
    <row r="119" spans="1:6" ht="15.6" thickTop="1" thickBot="1" x14ac:dyDescent="0.35">
      <c r="A119" s="10" t="s">
        <v>135</v>
      </c>
      <c r="B119" s="215" t="s">
        <v>221</v>
      </c>
      <c r="C119" s="216"/>
      <c r="D119" s="217"/>
      <c r="E119" s="14">
        <f>'Salários.VA.VT.QteDias.LDI.T'!$D$46</f>
        <v>4.7300000000000002E-2</v>
      </c>
      <c r="F119" s="44">
        <f>TRUNC(($F$134*$E$119),2)</f>
        <v>592.36</v>
      </c>
    </row>
    <row r="120" spans="1:6" ht="15.6" thickTop="1" thickBot="1" x14ac:dyDescent="0.35">
      <c r="A120" s="8" t="s">
        <v>137</v>
      </c>
      <c r="B120" s="212" t="s">
        <v>222</v>
      </c>
      <c r="C120" s="213"/>
      <c r="D120" s="214"/>
      <c r="E120" s="15">
        <f>'Salários.VA.VT.QteDias.LDI.T'!$D$47</f>
        <v>5.57E-2</v>
      </c>
      <c r="F120" s="47">
        <f>TRUNC((($F$134+$F$119)*E120),2)</f>
        <v>730.56</v>
      </c>
    </row>
    <row r="121" spans="1:6" ht="15.6" thickTop="1" thickBot="1" x14ac:dyDescent="0.35">
      <c r="A121" s="188" t="s">
        <v>223</v>
      </c>
      <c r="B121" s="202"/>
      <c r="C121" s="202"/>
      <c r="D121" s="189"/>
      <c r="E121" s="18" t="s">
        <v>154</v>
      </c>
      <c r="F121" s="56" t="s">
        <v>134</v>
      </c>
    </row>
    <row r="122" spans="1:6" ht="15.6" thickTop="1" thickBot="1" x14ac:dyDescent="0.35">
      <c r="A122" s="8" t="s">
        <v>135</v>
      </c>
      <c r="B122" s="212" t="s">
        <v>84</v>
      </c>
      <c r="C122" s="213"/>
      <c r="D122" s="214"/>
      <c r="E122" s="106">
        <v>6.4999999999999997E-3</v>
      </c>
      <c r="F122" s="47">
        <f>TRUNC(((($F$134+$F$119+$F$120)/0.9135)*E122),2)</f>
        <v>98.52</v>
      </c>
    </row>
    <row r="123" spans="1:6" ht="15.6" thickTop="1" thickBot="1" x14ac:dyDescent="0.35">
      <c r="A123" s="19" t="s">
        <v>137</v>
      </c>
      <c r="B123" s="224" t="s">
        <v>224</v>
      </c>
      <c r="C123" s="225"/>
      <c r="D123" s="226"/>
      <c r="E123" s="106">
        <v>0.03</v>
      </c>
      <c r="F123" s="57">
        <f>TRUNC(((($F$134+$F$119+$F$120)/0.9135)*E123),2)</f>
        <v>454.73</v>
      </c>
    </row>
    <row r="124" spans="1:6" ht="15.6" thickTop="1" thickBot="1" x14ac:dyDescent="0.35">
      <c r="A124" s="8" t="s">
        <v>139</v>
      </c>
      <c r="B124" s="212" t="s">
        <v>86</v>
      </c>
      <c r="C124" s="213"/>
      <c r="D124" s="214"/>
      <c r="E124" s="106">
        <v>0.05</v>
      </c>
      <c r="F124" s="47">
        <f>TRUNC(((($F$134+$F$119+$F$120)/0.9135)*E124),2)</f>
        <v>757.88</v>
      </c>
    </row>
    <row r="125" spans="1:6" ht="15.6" thickTop="1" thickBot="1" x14ac:dyDescent="0.35">
      <c r="A125" s="180" t="s">
        <v>225</v>
      </c>
      <c r="B125" s="181"/>
      <c r="C125" s="181"/>
      <c r="D125" s="182"/>
      <c r="E125" s="16">
        <f>SUM(E122:E124)</f>
        <v>8.6499999999999994E-2</v>
      </c>
      <c r="F125" s="13">
        <f>TRUNC(SUM($F$119,$F$120,$F$122,$F$123,$F$124),2)</f>
        <v>2634.05</v>
      </c>
    </row>
    <row r="126" spans="1:6" ht="15.6" thickTop="1" thickBot="1" x14ac:dyDescent="0.35">
      <c r="A126" s="177"/>
      <c r="B126" s="178"/>
      <c r="C126" s="178"/>
      <c r="D126" s="178"/>
      <c r="E126" s="178"/>
      <c r="F126" s="179"/>
    </row>
    <row r="127" spans="1:6" ht="15.6" thickTop="1" thickBot="1" x14ac:dyDescent="0.35">
      <c r="A127" s="249" t="s">
        <v>226</v>
      </c>
      <c r="B127" s="250"/>
      <c r="C127" s="250"/>
      <c r="D127" s="250"/>
      <c r="E127" s="250"/>
      <c r="F127" s="251"/>
    </row>
    <row r="128" spans="1:6" ht="15.6" thickTop="1" thickBot="1" x14ac:dyDescent="0.35">
      <c r="A128" s="227" t="s">
        <v>227</v>
      </c>
      <c r="B128" s="228"/>
      <c r="C128" s="228"/>
      <c r="D128" s="228"/>
      <c r="E128" s="229"/>
      <c r="F128" s="20" t="s">
        <v>134</v>
      </c>
    </row>
    <row r="129" spans="1:8" ht="15.6" thickTop="1" thickBot="1" x14ac:dyDescent="0.35">
      <c r="A129" s="8" t="s">
        <v>135</v>
      </c>
      <c r="B129" s="212" t="s">
        <v>228</v>
      </c>
      <c r="C129" s="213"/>
      <c r="D129" s="213"/>
      <c r="E129" s="214"/>
      <c r="F129" s="12">
        <f>$F$41</f>
        <v>7792.93</v>
      </c>
    </row>
    <row r="130" spans="1:8" ht="15.6" thickTop="1" thickBot="1" x14ac:dyDescent="0.35">
      <c r="A130" s="10" t="s">
        <v>137</v>
      </c>
      <c r="B130" s="215" t="s">
        <v>229</v>
      </c>
      <c r="C130" s="216"/>
      <c r="D130" s="216"/>
      <c r="E130" s="217"/>
      <c r="F130" s="11">
        <f>$F$78</f>
        <v>4075.69</v>
      </c>
    </row>
    <row r="131" spans="1:8" ht="15.6" thickTop="1" thickBot="1" x14ac:dyDescent="0.35">
      <c r="A131" s="8" t="s">
        <v>139</v>
      </c>
      <c r="B131" s="212" t="s">
        <v>230</v>
      </c>
      <c r="C131" s="213"/>
      <c r="D131" s="213"/>
      <c r="E131" s="214"/>
      <c r="F131" s="12">
        <f>$F$88</f>
        <v>302.57</v>
      </c>
    </row>
    <row r="132" spans="1:8" ht="15.6" thickTop="1" thickBot="1" x14ac:dyDescent="0.35">
      <c r="A132" s="10" t="s">
        <v>141</v>
      </c>
      <c r="B132" s="215" t="s">
        <v>231</v>
      </c>
      <c r="C132" s="216"/>
      <c r="D132" s="216"/>
      <c r="E132" s="217"/>
      <c r="F132" s="11">
        <f>$F$107</f>
        <v>287.06</v>
      </c>
    </row>
    <row r="133" spans="1:8" ht="15.6" thickTop="1" thickBot="1" x14ac:dyDescent="0.35">
      <c r="A133" s="8" t="s">
        <v>143</v>
      </c>
      <c r="B133" s="212" t="s">
        <v>232</v>
      </c>
      <c r="C133" s="213"/>
      <c r="D133" s="213"/>
      <c r="E133" s="214"/>
      <c r="F133" s="12">
        <f>$F$115</f>
        <v>65.42</v>
      </c>
    </row>
    <row r="134" spans="1:8" ht="15.6" thickTop="1" thickBot="1" x14ac:dyDescent="0.35">
      <c r="A134" s="236" t="s">
        <v>233</v>
      </c>
      <c r="B134" s="255"/>
      <c r="C134" s="255"/>
      <c r="D134" s="255"/>
      <c r="E134" s="237"/>
      <c r="F134" s="11">
        <f>TRUNC(SUM(F129:F133),2)</f>
        <v>12523.67</v>
      </c>
    </row>
    <row r="135" spans="1:8" ht="15.6" thickTop="1" thickBot="1" x14ac:dyDescent="0.35">
      <c r="A135" s="8" t="s">
        <v>145</v>
      </c>
      <c r="B135" s="221" t="s">
        <v>234</v>
      </c>
      <c r="C135" s="222"/>
      <c r="D135" s="222"/>
      <c r="E135" s="223"/>
      <c r="F135" s="12">
        <f>TRUNC(($F$125),2)</f>
        <v>2634.05</v>
      </c>
    </row>
    <row r="136" spans="1:8" ht="16.5" customHeight="1" thickTop="1" thickBot="1" x14ac:dyDescent="0.35">
      <c r="A136" s="236" t="s">
        <v>235</v>
      </c>
      <c r="B136" s="255"/>
      <c r="C136" s="255"/>
      <c r="D136" s="255"/>
      <c r="E136" s="237"/>
      <c r="F136" s="11">
        <f>TRUNC(($F$134 + $F$135),2)</f>
        <v>15157.72</v>
      </c>
    </row>
    <row r="137" spans="1:8" ht="16.5" customHeight="1" thickTop="1" thickBot="1" x14ac:dyDescent="0.35">
      <c r="A137" s="177"/>
      <c r="B137" s="178"/>
      <c r="C137" s="178"/>
      <c r="D137" s="178"/>
      <c r="E137" s="178"/>
      <c r="F137" s="179"/>
      <c r="H137" s="1"/>
    </row>
    <row r="138" spans="1:8" ht="15.6" thickTop="1" thickBot="1" x14ac:dyDescent="0.35">
      <c r="A138" s="252" t="s">
        <v>236</v>
      </c>
      <c r="B138" s="253"/>
      <c r="C138" s="253"/>
      <c r="D138" s="253"/>
      <c r="E138" s="253"/>
      <c r="F138" s="254"/>
    </row>
    <row r="139" spans="1:8" ht="21.6" thickTop="1" thickBot="1" x14ac:dyDescent="0.35">
      <c r="A139" s="21" t="s">
        <v>237</v>
      </c>
      <c r="B139" s="22" t="s">
        <v>238</v>
      </c>
      <c r="C139" s="22" t="s">
        <v>28</v>
      </c>
      <c r="D139" s="22" t="s">
        <v>239</v>
      </c>
      <c r="E139" s="22" t="s">
        <v>240</v>
      </c>
      <c r="F139" s="22" t="s">
        <v>241</v>
      </c>
    </row>
    <row r="140" spans="1:8" ht="15.6" thickTop="1" thickBot="1" x14ac:dyDescent="0.35">
      <c r="A140" s="23" t="str">
        <f>$C$26</f>
        <v>Piloto Fluvial</v>
      </c>
      <c r="B140" s="24">
        <f>$F$136</f>
        <v>15157.72</v>
      </c>
      <c r="C140" s="23">
        <f>$C$22</f>
        <v>1</v>
      </c>
      <c r="D140" s="23">
        <f>$C$18</f>
        <v>12</v>
      </c>
      <c r="E140" s="24">
        <f>TRUNC(($B$140 * $C$140),2)</f>
        <v>15157.72</v>
      </c>
      <c r="F140" s="24">
        <f>TRUNC(($D$140 * $E$140),2)</f>
        <v>181892.64</v>
      </c>
    </row>
    <row r="141" spans="1:8" ht="41.25" customHeight="1" thickTop="1" thickBot="1" x14ac:dyDescent="0.35">
      <c r="A141" s="25"/>
      <c r="B141" s="25"/>
      <c r="C141" s="25"/>
      <c r="D141" s="25"/>
      <c r="E141" s="25"/>
      <c r="F141" s="25"/>
    </row>
    <row r="142" spans="1:8" ht="15.6" thickTop="1" thickBot="1" x14ac:dyDescent="0.35">
      <c r="A142" s="252" t="s">
        <v>242</v>
      </c>
      <c r="B142" s="253"/>
      <c r="C142" s="253"/>
      <c r="D142" s="253"/>
      <c r="E142" s="253"/>
      <c r="F142" s="254"/>
    </row>
    <row r="143" spans="1:8" ht="15.6" thickTop="1" thickBot="1" x14ac:dyDescent="0.35">
      <c r="A143" s="21" t="s">
        <v>237</v>
      </c>
      <c r="B143" s="22" t="s">
        <v>238</v>
      </c>
      <c r="C143" s="22" t="s">
        <v>243</v>
      </c>
      <c r="D143" s="22" t="s">
        <v>244</v>
      </c>
      <c r="E143" s="22" t="s">
        <v>99</v>
      </c>
      <c r="F143" s="22" t="s">
        <v>245</v>
      </c>
    </row>
    <row r="144" spans="1:8" ht="15.6" thickTop="1" thickBot="1" x14ac:dyDescent="0.35">
      <c r="A144" s="23" t="str">
        <f>$C$26</f>
        <v>Piloto Fluvial</v>
      </c>
      <c r="B144" s="24">
        <f>$F$136</f>
        <v>15157.72</v>
      </c>
      <c r="C144" s="23">
        <v>1</v>
      </c>
      <c r="D144" s="26">
        <f>TRUNC(($E$140/30),2)</f>
        <v>505.25</v>
      </c>
      <c r="E144" s="24">
        <f>TRUNC(($C$144 * $D$144),2)</f>
        <v>505.25</v>
      </c>
      <c r="F144" s="24">
        <f>TRUNC(($E$144 * 12),2)</f>
        <v>6063</v>
      </c>
    </row>
    <row r="145" spans="1:6" ht="15" thickTop="1" x14ac:dyDescent="0.3">
      <c r="A145" s="4"/>
      <c r="B145" s="4"/>
      <c r="C145" s="4"/>
      <c r="D145" s="4"/>
      <c r="E145" s="4"/>
      <c r="F145" s="4"/>
    </row>
    <row r="146" spans="1:6" x14ac:dyDescent="0.3">
      <c r="A146" s="4"/>
      <c r="B146" s="4"/>
      <c r="C146" s="4"/>
      <c r="D146" s="4"/>
      <c r="E146" s="4"/>
      <c r="F146" s="4"/>
    </row>
    <row r="147" spans="1:6" x14ac:dyDescent="0.3">
      <c r="A147" s="4"/>
      <c r="B147" s="4"/>
      <c r="C147" s="4"/>
      <c r="D147" s="4"/>
      <c r="E147" s="4"/>
      <c r="F147" s="4"/>
    </row>
  </sheetData>
  <sheetProtection sheet="1" objects="1" scenarios="1"/>
  <protectedRanges>
    <protectedRange sqref="C10:F10 C13:F13 C15:F15 C16:F16 C17:F17 C28:F28 C30:F30 F35:F40 E53 F67 F69 F71 E82:E87 E94:E98 E122:E124" name="Intervalo1"/>
  </protectedRanges>
  <mergeCells count="147">
    <mergeCell ref="A137:F137"/>
    <mergeCell ref="A138:F138"/>
    <mergeCell ref="A142:F142"/>
    <mergeCell ref="B131:E131"/>
    <mergeCell ref="B132:E132"/>
    <mergeCell ref="B133:E133"/>
    <mergeCell ref="A134:E134"/>
    <mergeCell ref="B135:E135"/>
    <mergeCell ref="A136:E136"/>
    <mergeCell ref="A125:D125"/>
    <mergeCell ref="A126:F126"/>
    <mergeCell ref="A127:F127"/>
    <mergeCell ref="A128:E128"/>
    <mergeCell ref="B129:E129"/>
    <mergeCell ref="B130:E130"/>
    <mergeCell ref="B119:D119"/>
    <mergeCell ref="B120:D120"/>
    <mergeCell ref="A121:D121"/>
    <mergeCell ref="B122:D122"/>
    <mergeCell ref="B123:D123"/>
    <mergeCell ref="B124:D124"/>
    <mergeCell ref="B113:E113"/>
    <mergeCell ref="B114:E114"/>
    <mergeCell ref="A115:E115"/>
    <mergeCell ref="A116:F116"/>
    <mergeCell ref="A117:F117"/>
    <mergeCell ref="A118:D118"/>
    <mergeCell ref="A107:E107"/>
    <mergeCell ref="A108:F108"/>
    <mergeCell ref="A109:F109"/>
    <mergeCell ref="B110:E110"/>
    <mergeCell ref="B111:E111"/>
    <mergeCell ref="B112:E112"/>
    <mergeCell ref="B101:D101"/>
    <mergeCell ref="B102:D102"/>
    <mergeCell ref="A103:F103"/>
    <mergeCell ref="B104:E104"/>
    <mergeCell ref="B105:E105"/>
    <mergeCell ref="B106:E106"/>
    <mergeCell ref="B95:D95"/>
    <mergeCell ref="B96:D96"/>
    <mergeCell ref="B97:D97"/>
    <mergeCell ref="B98:D98"/>
    <mergeCell ref="A99:D99"/>
    <mergeCell ref="A100:F100"/>
    <mergeCell ref="A89:F89"/>
    <mergeCell ref="A90:F90"/>
    <mergeCell ref="A91:F91"/>
    <mergeCell ref="B92:D92"/>
    <mergeCell ref="B93:D93"/>
    <mergeCell ref="B94:D94"/>
    <mergeCell ref="A80:F80"/>
    <mergeCell ref="B81:D81"/>
    <mergeCell ref="B82:D82"/>
    <mergeCell ref="B83:D83"/>
    <mergeCell ref="B87:D87"/>
    <mergeCell ref="A88:D88"/>
    <mergeCell ref="B84:D84"/>
    <mergeCell ref="B85:D85"/>
    <mergeCell ref="B86:D86"/>
    <mergeCell ref="B74:E74"/>
    <mergeCell ref="B75:E75"/>
    <mergeCell ref="B76:E76"/>
    <mergeCell ref="B77:E77"/>
    <mergeCell ref="A78:E78"/>
    <mergeCell ref="A79:F79"/>
    <mergeCell ref="A68:A69"/>
    <mergeCell ref="B68:E69"/>
    <mergeCell ref="A70:A71"/>
    <mergeCell ref="B70:E71"/>
    <mergeCell ref="A72:E72"/>
    <mergeCell ref="A73:F73"/>
    <mergeCell ref="B61:F61"/>
    <mergeCell ref="A62:A63"/>
    <mergeCell ref="A64:A65"/>
    <mergeCell ref="A66:A67"/>
    <mergeCell ref="B66:E67"/>
    <mergeCell ref="B55:D55"/>
    <mergeCell ref="B56:D56"/>
    <mergeCell ref="B57:D57"/>
    <mergeCell ref="B58:D58"/>
    <mergeCell ref="A59:D59"/>
    <mergeCell ref="A60:F60"/>
    <mergeCell ref="B64:C64"/>
    <mergeCell ref="B65:C65"/>
    <mergeCell ref="A49:F49"/>
    <mergeCell ref="B50:D50"/>
    <mergeCell ref="B51:D51"/>
    <mergeCell ref="B52:D52"/>
    <mergeCell ref="B53:D53"/>
    <mergeCell ref="B54:D54"/>
    <mergeCell ref="A43:F43"/>
    <mergeCell ref="A44:F44"/>
    <mergeCell ref="B45:D45"/>
    <mergeCell ref="B46:D46"/>
    <mergeCell ref="B47:D47"/>
    <mergeCell ref="A48:D48"/>
    <mergeCell ref="B37:E37"/>
    <mergeCell ref="B38:E38"/>
    <mergeCell ref="B39:E39"/>
    <mergeCell ref="B40:E40"/>
    <mergeCell ref="A41:E41"/>
    <mergeCell ref="A42:F42"/>
    <mergeCell ref="A31:F31"/>
    <mergeCell ref="A32:F32"/>
    <mergeCell ref="B33:E33"/>
    <mergeCell ref="B34:E34"/>
    <mergeCell ref="B35:E35"/>
    <mergeCell ref="B36:E36"/>
    <mergeCell ref="A28:B28"/>
    <mergeCell ref="C28:F28"/>
    <mergeCell ref="A29:B29"/>
    <mergeCell ref="C29:F29"/>
    <mergeCell ref="A30:B30"/>
    <mergeCell ref="C30:F30"/>
    <mergeCell ref="A23:F23"/>
    <mergeCell ref="A24:F24"/>
    <mergeCell ref="A25:F25"/>
    <mergeCell ref="A26:B26"/>
    <mergeCell ref="C26:F26"/>
    <mergeCell ref="A27:B27"/>
    <mergeCell ref="C27:F27"/>
    <mergeCell ref="A19:F19"/>
    <mergeCell ref="A20:F20"/>
    <mergeCell ref="A21:B21"/>
    <mergeCell ref="C21:F21"/>
    <mergeCell ref="A22:B22"/>
    <mergeCell ref="C22:F22"/>
    <mergeCell ref="A15:B17"/>
    <mergeCell ref="C15:F15"/>
    <mergeCell ref="C16:F16"/>
    <mergeCell ref="C17:F17"/>
    <mergeCell ref="A18:B18"/>
    <mergeCell ref="C18:F18"/>
    <mergeCell ref="A11:F11"/>
    <mergeCell ref="A12:F12"/>
    <mergeCell ref="A13:B13"/>
    <mergeCell ref="C13:F13"/>
    <mergeCell ref="A14:B14"/>
    <mergeCell ref="C14:F14"/>
    <mergeCell ref="A1:F6"/>
    <mergeCell ref="A7:F7"/>
    <mergeCell ref="A8:F8"/>
    <mergeCell ref="A9:B9"/>
    <mergeCell ref="C9:F9"/>
    <mergeCell ref="A10:B10"/>
    <mergeCell ref="C10:F10"/>
  </mergeCells>
  <hyperlinks>
    <hyperlink ref="C9" r:id="rId1" location="/134037411" display="PGEA: 1.23.000.000176/2024-97" xr:uid="{5621715B-68D8-4BDD-AC75-4B100D369877}"/>
    <hyperlink ref="C27" r:id="rId2" display="4110-05 - Auxiliar de escritório" xr:uid="{45A4A533-808E-4EC2-ACFE-633385968FA7}"/>
    <hyperlink ref="C27:F27" r:id="rId3" display="CBO 3412-30 - Piloto fluvial" xr:uid="{1C6A434D-1E4C-47E3-8C44-789859909A7F}"/>
  </hyperlinks>
  <pageMargins left="0.7" right="0.7" top="0.75" bottom="0.75" header="0.3" footer="0.3"/>
  <drawing r:id="rId4"/>
  <legacyDrawing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051B19-49F7-498B-A618-029AD567A5C8}">
  <dimension ref="A1:K51"/>
  <sheetViews>
    <sheetView zoomScale="140" zoomScaleNormal="140" workbookViewId="0">
      <selection activeCell="E36" sqref="E36"/>
    </sheetView>
  </sheetViews>
  <sheetFormatPr defaultRowHeight="14.4" x14ac:dyDescent="0.3"/>
  <cols>
    <col min="1" max="1" width="14.109375" customWidth="1"/>
    <col min="2" max="2" width="36.5546875" customWidth="1"/>
    <col min="3" max="4" width="18.44140625" customWidth="1"/>
    <col min="5" max="5" width="18.109375" customWidth="1"/>
    <col min="6" max="6" width="18.5546875" customWidth="1"/>
  </cols>
  <sheetData>
    <row r="1" spans="1:11" ht="131.25" customHeight="1" thickTop="1" thickBot="1" x14ac:dyDescent="0.35">
      <c r="A1" s="118"/>
      <c r="B1" s="119"/>
      <c r="C1" s="119"/>
      <c r="D1" s="119"/>
      <c r="E1" s="119"/>
      <c r="F1" s="120"/>
      <c r="K1" s="2"/>
    </row>
    <row r="2" spans="1:11" ht="15.6" thickTop="1" thickBot="1" x14ac:dyDescent="0.35">
      <c r="A2" s="121" t="s">
        <v>247</v>
      </c>
      <c r="B2" s="122"/>
      <c r="C2" s="122"/>
      <c r="D2" s="122"/>
      <c r="E2" s="122"/>
      <c r="F2" s="123"/>
    </row>
    <row r="3" spans="1:11" ht="15.6" thickTop="1" thickBot="1" x14ac:dyDescent="0.35">
      <c r="A3" s="124" t="s">
        <v>248</v>
      </c>
      <c r="B3" s="125"/>
      <c r="C3" s="125"/>
      <c r="D3" s="125"/>
      <c r="E3" s="125"/>
      <c r="F3" s="126"/>
    </row>
    <row r="4" spans="1:11" ht="15.6" thickTop="1" thickBot="1" x14ac:dyDescent="0.35">
      <c r="A4" s="121" t="s">
        <v>249</v>
      </c>
      <c r="B4" s="122"/>
      <c r="C4" s="122"/>
      <c r="D4" s="122"/>
      <c r="E4" s="122"/>
      <c r="F4" s="123"/>
    </row>
    <row r="5" spans="1:11" ht="15.6" thickTop="1" thickBot="1" x14ac:dyDescent="0.35">
      <c r="A5" s="124" t="s">
        <v>250</v>
      </c>
      <c r="B5" s="119"/>
      <c r="C5" s="119"/>
      <c r="D5" s="119"/>
      <c r="E5" s="119"/>
      <c r="F5" s="120"/>
    </row>
    <row r="6" spans="1:11" ht="63.75" customHeight="1" x14ac:dyDescent="0.3">
      <c r="A6" s="115" t="s">
        <v>251</v>
      </c>
      <c r="B6" s="116"/>
      <c r="C6" s="116"/>
      <c r="D6" s="116"/>
      <c r="E6" s="116"/>
      <c r="F6" s="117"/>
    </row>
    <row r="7" spans="1:11" ht="15.6" thickTop="1" thickBot="1" x14ac:dyDescent="0.35">
      <c r="A7" s="118"/>
      <c r="B7" s="119"/>
      <c r="C7" s="119"/>
      <c r="D7" s="119"/>
      <c r="E7" s="119"/>
      <c r="F7" s="120"/>
    </row>
    <row r="8" spans="1:11" ht="15.6" thickTop="1" thickBot="1" x14ac:dyDescent="0.35">
      <c r="A8" s="121" t="s">
        <v>252</v>
      </c>
      <c r="B8" s="122"/>
      <c r="C8" s="122"/>
      <c r="D8" s="122"/>
      <c r="E8" s="122"/>
      <c r="F8" s="123"/>
    </row>
    <row r="9" spans="1:11" ht="15.6" thickTop="1" thickBot="1" x14ac:dyDescent="0.35">
      <c r="A9" s="127" t="s">
        <v>253</v>
      </c>
      <c r="B9" s="128"/>
      <c r="C9" s="127"/>
      <c r="D9" s="129"/>
      <c r="E9" s="129"/>
      <c r="F9" s="128"/>
    </row>
    <row r="10" spans="1:11" ht="15.6" thickTop="1" thickBot="1" x14ac:dyDescent="0.35">
      <c r="A10" s="130" t="s">
        <v>254</v>
      </c>
      <c r="B10" s="131"/>
      <c r="C10" s="130"/>
      <c r="D10" s="134"/>
      <c r="E10" s="134"/>
      <c r="F10" s="131"/>
    </row>
    <row r="11" spans="1:11" ht="15.6" thickTop="1" thickBot="1" x14ac:dyDescent="0.35">
      <c r="A11" s="127" t="s">
        <v>255</v>
      </c>
      <c r="B11" s="128"/>
      <c r="C11" s="127"/>
      <c r="D11" s="129"/>
      <c r="E11" s="129"/>
      <c r="F11" s="128"/>
    </row>
    <row r="12" spans="1:11" ht="15.6" thickTop="1" thickBot="1" x14ac:dyDescent="0.35">
      <c r="A12" s="132" t="s">
        <v>256</v>
      </c>
      <c r="B12" s="133"/>
      <c r="C12" s="130"/>
      <c r="D12" s="131"/>
      <c r="E12" s="130"/>
      <c r="F12" s="131"/>
    </row>
    <row r="13" spans="1:11" ht="15.6" thickTop="1" thickBot="1" x14ac:dyDescent="0.35">
      <c r="A13" s="127" t="s">
        <v>257</v>
      </c>
      <c r="B13" s="128"/>
      <c r="C13" s="28"/>
      <c r="D13" s="28"/>
      <c r="E13" s="28"/>
      <c r="F13" s="28"/>
    </row>
    <row r="14" spans="1:11" ht="15.6" thickTop="1" thickBot="1" x14ac:dyDescent="0.35">
      <c r="A14" s="130" t="s">
        <v>258</v>
      </c>
      <c r="B14" s="131"/>
      <c r="C14" s="36" t="s">
        <v>259</v>
      </c>
      <c r="D14" s="36" t="s">
        <v>260</v>
      </c>
      <c r="E14" s="36" t="s">
        <v>261</v>
      </c>
      <c r="F14" s="36" t="s">
        <v>262</v>
      </c>
    </row>
    <row r="15" spans="1:11" ht="15.6" thickTop="1" thickBot="1" x14ac:dyDescent="0.35">
      <c r="A15" s="118"/>
      <c r="B15" s="119"/>
      <c r="C15" s="119"/>
      <c r="D15" s="119"/>
      <c r="E15" s="119"/>
      <c r="F15" s="120"/>
    </row>
    <row r="16" spans="1:11" ht="15.6" thickTop="1" thickBot="1" x14ac:dyDescent="0.35">
      <c r="A16" s="121" t="s">
        <v>263</v>
      </c>
      <c r="B16" s="135"/>
      <c r="C16" s="135"/>
      <c r="D16" s="135"/>
      <c r="E16" s="135"/>
      <c r="F16" s="136"/>
    </row>
    <row r="17" spans="1:6" ht="15.6" thickTop="1" thickBot="1" x14ac:dyDescent="0.35">
      <c r="A17" s="127" t="s">
        <v>264</v>
      </c>
      <c r="B17" s="128"/>
      <c r="C17" s="127"/>
      <c r="D17" s="129"/>
      <c r="E17" s="129"/>
      <c r="F17" s="128"/>
    </row>
    <row r="18" spans="1:6" ht="15.6" thickTop="1" thickBot="1" x14ac:dyDescent="0.35">
      <c r="A18" s="130" t="s">
        <v>265</v>
      </c>
      <c r="B18" s="131"/>
      <c r="C18" s="36" t="s">
        <v>266</v>
      </c>
      <c r="D18" s="36" t="s">
        <v>267</v>
      </c>
      <c r="E18" s="130" t="s">
        <v>268</v>
      </c>
      <c r="F18" s="131"/>
    </row>
    <row r="19" spans="1:6" ht="15.6" thickTop="1" thickBot="1" x14ac:dyDescent="0.35">
      <c r="A19" s="118"/>
      <c r="B19" s="119"/>
      <c r="C19" s="119"/>
      <c r="D19" s="119"/>
      <c r="E19" s="119"/>
      <c r="F19" s="120"/>
    </row>
    <row r="20" spans="1:6" ht="15.6" thickTop="1" thickBot="1" x14ac:dyDescent="0.35">
      <c r="A20" s="121" t="s">
        <v>269</v>
      </c>
      <c r="B20" s="135"/>
      <c r="C20" s="135"/>
      <c r="D20" s="135"/>
      <c r="E20" s="135"/>
      <c r="F20" s="136"/>
    </row>
    <row r="21" spans="1:6" ht="39.9" customHeight="1" thickTop="1" thickBot="1" x14ac:dyDescent="0.35">
      <c r="A21" s="29" t="s">
        <v>135</v>
      </c>
      <c r="B21" s="140" t="s">
        <v>270</v>
      </c>
      <c r="C21" s="141"/>
      <c r="D21" s="141"/>
      <c r="E21" s="141"/>
      <c r="F21" s="142"/>
    </row>
    <row r="22" spans="1:6" ht="39.9" customHeight="1" thickTop="1" thickBot="1" x14ac:dyDescent="0.35">
      <c r="A22" s="36" t="s">
        <v>137</v>
      </c>
      <c r="B22" s="137" t="s">
        <v>271</v>
      </c>
      <c r="C22" s="138"/>
      <c r="D22" s="138"/>
      <c r="E22" s="138"/>
      <c r="F22" s="139"/>
    </row>
    <row r="23" spans="1:6" ht="39.9" customHeight="1" thickTop="1" thickBot="1" x14ac:dyDescent="0.35">
      <c r="A23" s="29" t="s">
        <v>139</v>
      </c>
      <c r="B23" s="140" t="s">
        <v>272</v>
      </c>
      <c r="C23" s="141"/>
      <c r="D23" s="141"/>
      <c r="E23" s="141"/>
      <c r="F23" s="142"/>
    </row>
    <row r="24" spans="1:6" ht="39.9" customHeight="1" thickTop="1" thickBot="1" x14ac:dyDescent="0.35">
      <c r="A24" s="36" t="s">
        <v>141</v>
      </c>
      <c r="B24" s="137" t="s">
        <v>273</v>
      </c>
      <c r="C24" s="138"/>
      <c r="D24" s="138"/>
      <c r="E24" s="138"/>
      <c r="F24" s="139"/>
    </row>
    <row r="25" spans="1:6" ht="39.9" customHeight="1" thickTop="1" thickBot="1" x14ac:dyDescent="0.35">
      <c r="A25" s="29" t="s">
        <v>143</v>
      </c>
      <c r="B25" s="140" t="s">
        <v>274</v>
      </c>
      <c r="C25" s="141"/>
      <c r="D25" s="141"/>
      <c r="E25" s="141"/>
      <c r="F25" s="142"/>
    </row>
    <row r="26" spans="1:6" ht="39.9" customHeight="1" thickTop="1" thickBot="1" x14ac:dyDescent="0.35">
      <c r="A26" s="36" t="s">
        <v>145</v>
      </c>
      <c r="B26" s="137" t="s">
        <v>275</v>
      </c>
      <c r="C26" s="138"/>
      <c r="D26" s="138"/>
      <c r="E26" s="138"/>
      <c r="F26" s="139"/>
    </row>
    <row r="27" spans="1:6" ht="39.9" customHeight="1" thickTop="1" thickBot="1" x14ac:dyDescent="0.35">
      <c r="A27" s="29" t="s">
        <v>147</v>
      </c>
      <c r="B27" s="140" t="s">
        <v>276</v>
      </c>
      <c r="C27" s="141"/>
      <c r="D27" s="141"/>
      <c r="E27" s="141"/>
      <c r="F27" s="142"/>
    </row>
    <row r="28" spans="1:6" ht="39.9" customHeight="1" thickTop="1" thickBot="1" x14ac:dyDescent="0.35">
      <c r="A28" s="36" t="s">
        <v>168</v>
      </c>
      <c r="B28" s="137" t="s">
        <v>277</v>
      </c>
      <c r="C28" s="138"/>
      <c r="D28" s="138"/>
      <c r="E28" s="138"/>
      <c r="F28" s="139"/>
    </row>
    <row r="29" spans="1:6" ht="39.9" customHeight="1" thickTop="1" thickBot="1" x14ac:dyDescent="0.35">
      <c r="A29" s="29" t="s">
        <v>278</v>
      </c>
      <c r="B29" s="140" t="s">
        <v>279</v>
      </c>
      <c r="C29" s="141"/>
      <c r="D29" s="141"/>
      <c r="E29" s="141"/>
      <c r="F29" s="142"/>
    </row>
    <row r="30" spans="1:6" ht="39.9" customHeight="1" thickTop="1" thickBot="1" x14ac:dyDescent="0.35">
      <c r="A30" s="36" t="s">
        <v>280</v>
      </c>
      <c r="B30" s="137" t="s">
        <v>281</v>
      </c>
      <c r="C30" s="138"/>
      <c r="D30" s="138"/>
      <c r="E30" s="138"/>
      <c r="F30" s="139"/>
    </row>
    <row r="31" spans="1:6" ht="39.9" customHeight="1" thickTop="1" thickBot="1" x14ac:dyDescent="0.35">
      <c r="A31" s="29" t="s">
        <v>282</v>
      </c>
      <c r="B31" s="140" t="s">
        <v>283</v>
      </c>
      <c r="C31" s="141"/>
      <c r="D31" s="141"/>
      <c r="E31" s="141"/>
      <c r="F31" s="142"/>
    </row>
    <row r="32" spans="1:6" ht="39.9" customHeight="1" thickTop="1" thickBot="1" x14ac:dyDescent="0.35">
      <c r="A32" s="36" t="s">
        <v>284</v>
      </c>
      <c r="B32" s="137" t="s">
        <v>285</v>
      </c>
      <c r="C32" s="138"/>
      <c r="D32" s="138"/>
      <c r="E32" s="138"/>
      <c r="F32" s="139"/>
    </row>
    <row r="33" spans="1:6" ht="15.6" thickTop="1" thickBot="1" x14ac:dyDescent="0.35">
      <c r="A33" s="118"/>
      <c r="B33" s="119"/>
      <c r="C33" s="119"/>
      <c r="D33" s="119"/>
      <c r="E33" s="119"/>
      <c r="F33" s="120"/>
    </row>
    <row r="34" spans="1:6" ht="15.6" thickTop="1" thickBot="1" x14ac:dyDescent="0.35">
      <c r="A34" s="121" t="s">
        <v>286</v>
      </c>
      <c r="B34" s="122"/>
      <c r="C34" s="122"/>
      <c r="D34" s="122"/>
      <c r="E34" s="122"/>
      <c r="F34" s="123"/>
    </row>
    <row r="35" spans="1:6" ht="21.6" thickTop="1" thickBot="1" x14ac:dyDescent="0.35">
      <c r="A35" s="36" t="s">
        <v>1</v>
      </c>
      <c r="B35" s="36" t="s">
        <v>287</v>
      </c>
      <c r="C35" s="36" t="s">
        <v>244</v>
      </c>
      <c r="D35" s="36" t="s">
        <v>288</v>
      </c>
      <c r="E35" s="36" t="s">
        <v>347</v>
      </c>
      <c r="F35" s="36" t="s">
        <v>346</v>
      </c>
    </row>
    <row r="36" spans="1:6" x14ac:dyDescent="0.3">
      <c r="A36" s="29">
        <v>1</v>
      </c>
      <c r="B36" s="29" t="s">
        <v>289</v>
      </c>
      <c r="C36" s="30">
        <f>Marinheiro!D144</f>
        <v>313.67</v>
      </c>
      <c r="D36" s="29">
        <v>2</v>
      </c>
      <c r="E36" s="30">
        <f>C36*D36</f>
        <v>627.34</v>
      </c>
      <c r="F36" s="76">
        <f t="shared" ref="F36:F37" si="0">TRUNC((E36*12),2)</f>
        <v>7528.08</v>
      </c>
    </row>
    <row r="37" spans="1:6" x14ac:dyDescent="0.3">
      <c r="A37" s="36">
        <v>2</v>
      </c>
      <c r="B37" s="36" t="s">
        <v>290</v>
      </c>
      <c r="C37" s="31">
        <f>'Piloto de Embarcações'!D144</f>
        <v>505.25</v>
      </c>
      <c r="D37" s="36">
        <v>1</v>
      </c>
      <c r="E37" s="31">
        <f>C37*D37</f>
        <v>505.25</v>
      </c>
      <c r="F37" s="77">
        <f t="shared" si="0"/>
        <v>6063</v>
      </c>
    </row>
    <row r="38" spans="1:6" ht="15.6" thickTop="1" thickBot="1" x14ac:dyDescent="0.35">
      <c r="A38" s="127" t="s">
        <v>291</v>
      </c>
      <c r="B38" s="128"/>
      <c r="C38" s="32"/>
      <c r="D38" s="33">
        <f>SUM(D36:D37)</f>
        <v>3</v>
      </c>
      <c r="E38" s="32">
        <f>SUM(E36:E37)</f>
        <v>1132.5900000000001</v>
      </c>
      <c r="F38" s="32">
        <f>TRUNC(SUM(F36:F37),2)</f>
        <v>13591.08</v>
      </c>
    </row>
    <row r="39" spans="1:6" ht="15.6" thickTop="1" thickBot="1" x14ac:dyDescent="0.35">
      <c r="A39" s="124"/>
      <c r="B39" s="125"/>
      <c r="C39" s="125"/>
      <c r="D39" s="125"/>
      <c r="E39" s="125"/>
      <c r="F39" s="126"/>
    </row>
    <row r="40" spans="1:6" ht="15.6" thickTop="1" thickBot="1" x14ac:dyDescent="0.35">
      <c r="A40" s="121" t="s">
        <v>292</v>
      </c>
      <c r="B40" s="122"/>
      <c r="C40" s="122"/>
      <c r="D40" s="122"/>
      <c r="E40" s="122"/>
      <c r="F40" s="123"/>
    </row>
    <row r="41" spans="1:6" ht="15.6" thickTop="1" thickBot="1" x14ac:dyDescent="0.35">
      <c r="A41" s="36">
        <v>3</v>
      </c>
      <c r="B41" s="143" t="s">
        <v>293</v>
      </c>
      <c r="C41" s="143"/>
      <c r="D41" s="143"/>
      <c r="E41" s="34" t="s">
        <v>294</v>
      </c>
      <c r="F41" s="34" t="s">
        <v>90</v>
      </c>
    </row>
    <row r="42" spans="1:6" ht="15.6" thickTop="1" thickBot="1" x14ac:dyDescent="0.35">
      <c r="A42" s="127" t="s">
        <v>295</v>
      </c>
      <c r="B42" s="129"/>
      <c r="C42" s="129"/>
      <c r="D42" s="128"/>
      <c r="E42" s="32">
        <f>TRUNC((F42/12),2)</f>
        <v>123.29</v>
      </c>
      <c r="F42" s="32">
        <f>('Materiais + MLPH'!I22)-0.09</f>
        <v>1479.48</v>
      </c>
    </row>
    <row r="43" spans="1:6" ht="15.6" thickTop="1" thickBot="1" x14ac:dyDescent="0.35">
      <c r="A43" s="118"/>
      <c r="B43" s="119"/>
      <c r="C43" s="119"/>
      <c r="D43" s="119"/>
      <c r="E43" s="119"/>
      <c r="F43" s="120"/>
    </row>
    <row r="44" spans="1:6" ht="16.5" customHeight="1" thickTop="1" thickBot="1" x14ac:dyDescent="0.35">
      <c r="A44" s="121" t="s">
        <v>296</v>
      </c>
      <c r="B44" s="122"/>
      <c r="C44" s="122"/>
      <c r="D44" s="122"/>
      <c r="E44" s="122"/>
      <c r="F44" s="123"/>
    </row>
    <row r="45" spans="1:6" ht="16.5" customHeight="1" thickTop="1" thickBot="1" x14ac:dyDescent="0.35">
      <c r="A45" s="127" t="s">
        <v>297</v>
      </c>
      <c r="B45" s="129"/>
      <c r="C45" s="129"/>
      <c r="D45" s="129"/>
      <c r="E45" s="129"/>
      <c r="F45" s="128"/>
    </row>
    <row r="46" spans="1:6" ht="15.6" thickTop="1" thickBot="1" x14ac:dyDescent="0.35">
      <c r="A46" s="130" t="s">
        <v>294</v>
      </c>
      <c r="B46" s="134"/>
      <c r="C46" s="131"/>
      <c r="D46" s="134" t="s">
        <v>90</v>
      </c>
      <c r="E46" s="134"/>
      <c r="F46" s="131"/>
    </row>
    <row r="47" spans="1:6" ht="15.6" thickTop="1" thickBot="1" x14ac:dyDescent="0.35">
      <c r="A47" s="112">
        <f>TRUNC((E38+E42),2)</f>
        <v>1255.8800000000001</v>
      </c>
      <c r="B47" s="113"/>
      <c r="C47" s="114"/>
      <c r="D47" s="113">
        <f>TRUNC((F38+F42),2)</f>
        <v>15070.56</v>
      </c>
      <c r="E47" s="113"/>
      <c r="F47" s="114"/>
    </row>
    <row r="48" spans="1:6" ht="15" thickTop="1" x14ac:dyDescent="0.3">
      <c r="A48" s="4"/>
      <c r="B48" s="4"/>
      <c r="C48" s="4"/>
      <c r="D48" s="4"/>
      <c r="E48" s="4"/>
      <c r="F48" s="4"/>
    </row>
    <row r="49" spans="1:6" x14ac:dyDescent="0.3">
      <c r="A49" s="4"/>
      <c r="B49" s="4"/>
      <c r="C49" s="4"/>
      <c r="D49" s="4"/>
      <c r="E49" s="4"/>
      <c r="F49" s="4"/>
    </row>
    <row r="50" spans="1:6" x14ac:dyDescent="0.3">
      <c r="A50" s="4"/>
      <c r="B50" s="4"/>
      <c r="C50" s="4"/>
      <c r="D50" s="4"/>
      <c r="E50" s="4"/>
      <c r="F50" s="4"/>
    </row>
    <row r="51" spans="1:6" x14ac:dyDescent="0.3">
      <c r="A51" s="4"/>
      <c r="B51" s="4"/>
      <c r="C51" s="4"/>
      <c r="D51" s="4"/>
      <c r="E51" s="4"/>
      <c r="F51" s="4"/>
    </row>
  </sheetData>
  <mergeCells count="53">
    <mergeCell ref="A45:F45"/>
    <mergeCell ref="A46:C46"/>
    <mergeCell ref="D46:F46"/>
    <mergeCell ref="A44:F44"/>
    <mergeCell ref="B31:F31"/>
    <mergeCell ref="B32:F32"/>
    <mergeCell ref="A33:F33"/>
    <mergeCell ref="A34:F34"/>
    <mergeCell ref="A38:B38"/>
    <mergeCell ref="A43:F43"/>
    <mergeCell ref="A39:F39"/>
    <mergeCell ref="A40:F40"/>
    <mergeCell ref="B41:D41"/>
    <mergeCell ref="A42:D42"/>
    <mergeCell ref="B30:F30"/>
    <mergeCell ref="A19:F19"/>
    <mergeCell ref="A20:F20"/>
    <mergeCell ref="B21:F21"/>
    <mergeCell ref="B22:F22"/>
    <mergeCell ref="B23:F23"/>
    <mergeCell ref="B24:F24"/>
    <mergeCell ref="B25:F25"/>
    <mergeCell ref="B26:F26"/>
    <mergeCell ref="B27:F27"/>
    <mergeCell ref="B28:F28"/>
    <mergeCell ref="B29:F29"/>
    <mergeCell ref="A15:F15"/>
    <mergeCell ref="A16:F16"/>
    <mergeCell ref="A17:B17"/>
    <mergeCell ref="C17:F17"/>
    <mergeCell ref="A18:B18"/>
    <mergeCell ref="E18:F18"/>
    <mergeCell ref="C10:F10"/>
    <mergeCell ref="C11:F11"/>
    <mergeCell ref="C12:D12"/>
    <mergeCell ref="E12:F12"/>
    <mergeCell ref="A11:B11"/>
    <mergeCell ref="A47:C47"/>
    <mergeCell ref="D47:F47"/>
    <mergeCell ref="A6:F6"/>
    <mergeCell ref="A1:F1"/>
    <mergeCell ref="A2:F2"/>
    <mergeCell ref="A3:F3"/>
    <mergeCell ref="A4:F4"/>
    <mergeCell ref="A5:F5"/>
    <mergeCell ref="A7:F7"/>
    <mergeCell ref="A8:F8"/>
    <mergeCell ref="A9:B9"/>
    <mergeCell ref="C9:F9"/>
    <mergeCell ref="A10:B10"/>
    <mergeCell ref="A12:B12"/>
    <mergeCell ref="A13:B13"/>
    <mergeCell ref="A14:B14"/>
  </mergeCells>
  <pageMargins left="0.511811024" right="0.511811024" top="0.78740157499999996" bottom="0.78740157499999996" header="0.31496062000000002" footer="0.31496062000000002"/>
  <drawing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929671-2511-4484-B5C5-E69248BB7314}">
  <dimension ref="A1:C17"/>
  <sheetViews>
    <sheetView workbookViewId="0">
      <selection sqref="A1:C1"/>
    </sheetView>
  </sheetViews>
  <sheetFormatPr defaultRowHeight="14.4" x14ac:dyDescent="0.3"/>
  <cols>
    <col min="2" max="2" width="51.88671875" customWidth="1"/>
    <col min="3" max="3" width="107" customWidth="1"/>
  </cols>
  <sheetData>
    <row r="1" spans="1:3" ht="15.6" thickTop="1" thickBot="1" x14ac:dyDescent="0.35">
      <c r="A1" s="144" t="s">
        <v>0</v>
      </c>
      <c r="B1" s="145"/>
      <c r="C1" s="146"/>
    </row>
    <row r="2" spans="1:3" ht="15.6" thickTop="1" thickBot="1" x14ac:dyDescent="0.35">
      <c r="A2" s="17" t="s">
        <v>1</v>
      </c>
      <c r="B2" s="37" t="s">
        <v>2</v>
      </c>
      <c r="C2" s="17" t="s">
        <v>3</v>
      </c>
    </row>
    <row r="3" spans="1:3" ht="15.6" thickTop="1" thickBot="1" x14ac:dyDescent="0.35">
      <c r="A3" s="17">
        <f>ROW()-2</f>
        <v>1</v>
      </c>
      <c r="B3" s="37" t="s">
        <v>4</v>
      </c>
      <c r="C3" s="17" t="s">
        <v>5</v>
      </c>
    </row>
    <row r="4" spans="1:3" ht="15.6" thickTop="1" thickBot="1" x14ac:dyDescent="0.35">
      <c r="A4" s="17">
        <f t="shared" ref="A4:A11" si="0">ROW()-2</f>
        <v>2</v>
      </c>
      <c r="B4" s="37" t="s">
        <v>6</v>
      </c>
      <c r="C4" s="17" t="s">
        <v>7</v>
      </c>
    </row>
    <row r="5" spans="1:3" ht="15.6" thickTop="1" thickBot="1" x14ac:dyDescent="0.35">
      <c r="A5" s="17">
        <f t="shared" si="0"/>
        <v>3</v>
      </c>
      <c r="B5" s="78" t="s">
        <v>321</v>
      </c>
      <c r="C5" s="79" t="s">
        <v>322</v>
      </c>
    </row>
    <row r="6" spans="1:3" ht="15.6" thickTop="1" thickBot="1" x14ac:dyDescent="0.35">
      <c r="A6" s="17">
        <f t="shared" si="0"/>
        <v>4</v>
      </c>
      <c r="B6" s="37" t="s">
        <v>8</v>
      </c>
      <c r="C6" s="17" t="s">
        <v>9</v>
      </c>
    </row>
    <row r="7" spans="1:3" ht="15.6" thickTop="1" thickBot="1" x14ac:dyDescent="0.35">
      <c r="A7" s="17">
        <f t="shared" si="0"/>
        <v>5</v>
      </c>
      <c r="B7" s="59" t="s">
        <v>10</v>
      </c>
      <c r="C7" s="17" t="s">
        <v>11</v>
      </c>
    </row>
    <row r="8" spans="1:3" ht="15.6" thickTop="1" thickBot="1" x14ac:dyDescent="0.35">
      <c r="A8" s="17">
        <f t="shared" si="0"/>
        <v>6</v>
      </c>
      <c r="B8" s="37" t="s">
        <v>12</v>
      </c>
      <c r="C8" s="17" t="s">
        <v>13</v>
      </c>
    </row>
    <row r="9" spans="1:3" ht="15.6" thickTop="1" thickBot="1" x14ac:dyDescent="0.35">
      <c r="A9" s="17">
        <f t="shared" si="0"/>
        <v>7</v>
      </c>
      <c r="B9" s="37" t="s">
        <v>14</v>
      </c>
      <c r="C9" s="17" t="s">
        <v>15</v>
      </c>
    </row>
    <row r="10" spans="1:3" ht="15.6" thickTop="1" thickBot="1" x14ac:dyDescent="0.35">
      <c r="A10" s="17">
        <f t="shared" si="0"/>
        <v>8</v>
      </c>
      <c r="B10" s="37" t="s">
        <v>16</v>
      </c>
      <c r="C10" s="17" t="s">
        <v>17</v>
      </c>
    </row>
    <row r="11" spans="1:3" ht="15.6" thickTop="1" thickBot="1" x14ac:dyDescent="0.35">
      <c r="A11" s="17">
        <f t="shared" si="0"/>
        <v>9</v>
      </c>
      <c r="B11" s="37" t="s">
        <v>18</v>
      </c>
      <c r="C11" s="17" t="s">
        <v>19</v>
      </c>
    </row>
    <row r="12" spans="1:3" ht="15" thickTop="1" x14ac:dyDescent="0.3">
      <c r="A12" s="5"/>
      <c r="B12" s="5"/>
      <c r="C12" s="5"/>
    </row>
    <row r="13" spans="1:3" x14ac:dyDescent="0.3">
      <c r="A13" s="5"/>
      <c r="B13" s="5"/>
      <c r="C13" s="5"/>
    </row>
    <row r="14" spans="1:3" x14ac:dyDescent="0.3">
      <c r="A14" s="5"/>
      <c r="B14" s="5"/>
      <c r="C14" s="5"/>
    </row>
    <row r="15" spans="1:3" x14ac:dyDescent="0.3">
      <c r="A15" s="5"/>
      <c r="B15" s="5"/>
      <c r="C15" s="5"/>
    </row>
    <row r="16" spans="1:3" x14ac:dyDescent="0.3">
      <c r="A16" s="5"/>
      <c r="B16" s="5"/>
      <c r="C16" s="5"/>
    </row>
    <row r="17" spans="1:3" x14ac:dyDescent="0.3">
      <c r="A17" s="5"/>
      <c r="B17" s="5"/>
      <c r="C17" s="5"/>
    </row>
  </sheetData>
  <mergeCells count="1">
    <mergeCell ref="A1:C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6A5E3F-5C37-46FC-8739-2F8FB0BC7495}">
  <dimension ref="A1:B5"/>
  <sheetViews>
    <sheetView workbookViewId="0">
      <selection sqref="A1:B1"/>
    </sheetView>
  </sheetViews>
  <sheetFormatPr defaultRowHeight="14.4" x14ac:dyDescent="0.3"/>
  <cols>
    <col min="2" max="2" width="55.88671875" customWidth="1"/>
  </cols>
  <sheetData>
    <row r="1" spans="1:2" ht="15.6" thickTop="1" thickBot="1" x14ac:dyDescent="0.35">
      <c r="A1" s="144" t="s">
        <v>20</v>
      </c>
      <c r="B1" s="146"/>
    </row>
    <row r="2" spans="1:2" ht="15.6" thickTop="1" thickBot="1" x14ac:dyDescent="0.35">
      <c r="A2" s="17">
        <f>ROW()-1</f>
        <v>1</v>
      </c>
      <c r="B2" s="37" t="s">
        <v>14</v>
      </c>
    </row>
    <row r="3" spans="1:2" ht="15.6" thickTop="1" thickBot="1" x14ac:dyDescent="0.35">
      <c r="A3" s="17">
        <f>ROW()-1</f>
        <v>2</v>
      </c>
      <c r="B3" s="37" t="s">
        <v>16</v>
      </c>
    </row>
    <row r="4" spans="1:2" ht="15" thickTop="1" x14ac:dyDescent="0.3">
      <c r="A4" s="5"/>
      <c r="B4" s="6"/>
    </row>
    <row r="5" spans="1:2" x14ac:dyDescent="0.3">
      <c r="A5" s="5"/>
      <c r="B5" s="5"/>
    </row>
  </sheetData>
  <mergeCells count="1">
    <mergeCell ref="A1:B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AF255B-6F62-42F8-97F1-0E9D0089723F}">
  <dimension ref="A1:D57"/>
  <sheetViews>
    <sheetView zoomScale="90" zoomScaleNormal="90" workbookViewId="0">
      <selection activeCell="H50" sqref="H50"/>
    </sheetView>
  </sheetViews>
  <sheetFormatPr defaultRowHeight="14.4" x14ac:dyDescent="0.3"/>
  <cols>
    <col min="1" max="1" width="32" customWidth="1"/>
    <col min="2" max="2" width="31" customWidth="1"/>
    <col min="3" max="3" width="29" customWidth="1"/>
    <col min="4" max="4" width="20.88671875" customWidth="1"/>
  </cols>
  <sheetData>
    <row r="1" spans="1:4" s="3" customFormat="1" ht="30" customHeight="1" thickTop="1" thickBot="1" x14ac:dyDescent="0.35">
      <c r="A1" s="149" t="s">
        <v>21</v>
      </c>
      <c r="B1" s="150"/>
      <c r="C1" s="150"/>
      <c r="D1" s="151"/>
    </row>
    <row r="2" spans="1:4" s="3" customFormat="1" ht="20.100000000000001" customHeight="1" thickTop="1" thickBot="1" x14ac:dyDescent="0.35">
      <c r="A2" s="147" t="s">
        <v>22</v>
      </c>
      <c r="B2" s="148"/>
      <c r="C2" s="41" t="s">
        <v>14</v>
      </c>
      <c r="D2" s="41" t="s">
        <v>23</v>
      </c>
    </row>
    <row r="3" spans="1:4" s="3" customFormat="1" ht="20.100000000000001" customHeight="1" thickTop="1" thickBot="1" x14ac:dyDescent="0.35">
      <c r="A3" s="41" t="s">
        <v>24</v>
      </c>
      <c r="B3" s="41" t="s">
        <v>25</v>
      </c>
      <c r="C3" s="60">
        <v>1063.56</v>
      </c>
      <c r="D3" s="60">
        <v>1694.68</v>
      </c>
    </row>
    <row r="4" spans="1:4" ht="15.6" thickTop="1" thickBot="1" x14ac:dyDescent="0.35">
      <c r="A4" s="41" t="s">
        <v>24</v>
      </c>
      <c r="B4" s="41" t="s">
        <v>298</v>
      </c>
      <c r="C4" s="38"/>
      <c r="D4" s="38"/>
    </row>
    <row r="5" spans="1:4" ht="15.6" thickTop="1" thickBot="1" x14ac:dyDescent="0.35">
      <c r="A5" s="41" t="s">
        <v>24</v>
      </c>
      <c r="B5" s="41" t="s">
        <v>299</v>
      </c>
      <c r="C5" s="38"/>
      <c r="D5" s="38"/>
    </row>
    <row r="6" spans="1:4" ht="15.6" thickTop="1" thickBot="1" x14ac:dyDescent="0.35">
      <c r="A6" s="41" t="s">
        <v>24</v>
      </c>
      <c r="B6" s="41" t="s">
        <v>300</v>
      </c>
      <c r="C6" s="38"/>
      <c r="D6" s="38"/>
    </row>
    <row r="7" spans="1:4" ht="15.6" thickTop="1" thickBot="1" x14ac:dyDescent="0.35">
      <c r="A7" s="41" t="s">
        <v>24</v>
      </c>
      <c r="B7" s="41" t="s">
        <v>301</v>
      </c>
      <c r="C7" s="38"/>
      <c r="D7" s="38"/>
    </row>
    <row r="8" spans="1:4" ht="15.6" thickTop="1" thickBot="1" x14ac:dyDescent="0.35">
      <c r="A8" s="41" t="s">
        <v>24</v>
      </c>
      <c r="B8" s="41" t="s">
        <v>302</v>
      </c>
      <c r="C8" s="38"/>
      <c r="D8" s="38"/>
    </row>
    <row r="9" spans="1:4" ht="15.6" thickTop="1" thickBot="1" x14ac:dyDescent="0.35">
      <c r="A9" s="41" t="s">
        <v>24</v>
      </c>
      <c r="B9" s="41" t="s">
        <v>303</v>
      </c>
      <c r="C9" s="38"/>
      <c r="D9" s="38"/>
    </row>
    <row r="10" spans="1:4" ht="15.6" thickTop="1" thickBot="1" x14ac:dyDescent="0.35">
      <c r="A10" s="41" t="s">
        <v>24</v>
      </c>
      <c r="B10" s="41" t="s">
        <v>304</v>
      </c>
      <c r="C10" s="38"/>
      <c r="D10" s="38"/>
    </row>
    <row r="11" spans="1:4" ht="15.6" thickTop="1" thickBot="1" x14ac:dyDescent="0.35">
      <c r="A11" s="41" t="s">
        <v>24</v>
      </c>
      <c r="B11" s="41" t="s">
        <v>305</v>
      </c>
      <c r="C11" s="38"/>
      <c r="D11" s="38"/>
    </row>
    <row r="12" spans="1:4" ht="15.6" thickTop="1" thickBot="1" x14ac:dyDescent="0.35">
      <c r="A12" s="41" t="s">
        <v>24</v>
      </c>
      <c r="B12" s="41" t="s">
        <v>306</v>
      </c>
      <c r="C12" s="38"/>
      <c r="D12" s="38"/>
    </row>
    <row r="13" spans="1:4" ht="15" thickTop="1" x14ac:dyDescent="0.3">
      <c r="A13" s="61"/>
      <c r="B13" s="61"/>
      <c r="C13" s="61"/>
      <c r="D13" s="61"/>
    </row>
    <row r="14" spans="1:4" x14ac:dyDescent="0.3">
      <c r="A14" s="61"/>
      <c r="B14" s="61"/>
      <c r="C14" s="61"/>
      <c r="D14" s="61"/>
    </row>
    <row r="15" spans="1:4" x14ac:dyDescent="0.3">
      <c r="A15" s="61"/>
      <c r="B15" s="61"/>
      <c r="C15" s="61"/>
      <c r="D15" s="61"/>
    </row>
    <row r="16" spans="1:4" x14ac:dyDescent="0.3">
      <c r="A16" s="61"/>
      <c r="B16" s="61"/>
      <c r="C16" s="61"/>
      <c r="D16" s="61"/>
    </row>
    <row r="17" spans="1:4" ht="15" thickBot="1" x14ac:dyDescent="0.35">
      <c r="A17" s="61"/>
      <c r="B17" s="61"/>
      <c r="C17" s="61"/>
      <c r="D17" s="61"/>
    </row>
    <row r="18" spans="1:4" ht="15.6" thickTop="1" thickBot="1" x14ac:dyDescent="0.35">
      <c r="A18" s="39" t="s">
        <v>307</v>
      </c>
      <c r="B18" s="39" t="s">
        <v>308</v>
      </c>
      <c r="C18" s="39" t="s">
        <v>309</v>
      </c>
      <c r="D18" s="61"/>
    </row>
    <row r="19" spans="1:4" ht="15.6" thickTop="1" thickBot="1" x14ac:dyDescent="0.35">
      <c r="A19" s="40" t="s">
        <v>310</v>
      </c>
      <c r="B19" s="95">
        <v>26.53</v>
      </c>
      <c r="C19" s="95">
        <v>4</v>
      </c>
      <c r="D19" s="61"/>
    </row>
    <row r="20" spans="1:4" ht="15.6" thickTop="1" thickBot="1" x14ac:dyDescent="0.35">
      <c r="A20" s="40" t="s">
        <v>311</v>
      </c>
      <c r="B20" s="38"/>
      <c r="C20" s="38"/>
      <c r="D20" s="61"/>
    </row>
    <row r="21" spans="1:4" ht="15.6" thickTop="1" thickBot="1" x14ac:dyDescent="0.35">
      <c r="A21" s="40" t="s">
        <v>311</v>
      </c>
      <c r="B21" s="38"/>
      <c r="C21" s="38"/>
      <c r="D21" s="61"/>
    </row>
    <row r="22" spans="1:4" ht="15.6" thickTop="1" thickBot="1" x14ac:dyDescent="0.35">
      <c r="A22" s="40" t="s">
        <v>311</v>
      </c>
      <c r="B22" s="38"/>
      <c r="C22" s="38"/>
      <c r="D22" s="61"/>
    </row>
    <row r="23" spans="1:4" ht="15.6" thickTop="1" thickBot="1" x14ac:dyDescent="0.35">
      <c r="A23" s="40" t="s">
        <v>311</v>
      </c>
      <c r="B23" s="38"/>
      <c r="C23" s="38"/>
      <c r="D23" s="61"/>
    </row>
    <row r="24" spans="1:4" ht="15.6" thickTop="1" thickBot="1" x14ac:dyDescent="0.35">
      <c r="A24" s="40" t="s">
        <v>311</v>
      </c>
      <c r="B24" s="38"/>
      <c r="C24" s="38"/>
      <c r="D24" s="61"/>
    </row>
    <row r="25" spans="1:4" ht="15.6" thickTop="1" thickBot="1" x14ac:dyDescent="0.35">
      <c r="A25" s="40" t="s">
        <v>311</v>
      </c>
      <c r="B25" s="38"/>
      <c r="C25" s="38"/>
      <c r="D25" s="61"/>
    </row>
    <row r="26" spans="1:4" ht="15.6" thickTop="1" thickBot="1" x14ac:dyDescent="0.35">
      <c r="A26" s="40" t="s">
        <v>311</v>
      </c>
      <c r="B26" s="38"/>
      <c r="C26" s="38"/>
      <c r="D26" s="61"/>
    </row>
    <row r="27" spans="1:4" ht="15.6" thickTop="1" thickBot="1" x14ac:dyDescent="0.35">
      <c r="A27" s="40" t="s">
        <v>311</v>
      </c>
      <c r="B27" s="38"/>
      <c r="C27" s="38"/>
      <c r="D27" s="61"/>
    </row>
    <row r="28" spans="1:4" ht="15.6" thickTop="1" thickBot="1" x14ac:dyDescent="0.35">
      <c r="A28" s="40" t="s">
        <v>311</v>
      </c>
      <c r="B28" s="38"/>
      <c r="C28" s="38"/>
      <c r="D28" s="61"/>
    </row>
    <row r="29" spans="1:4" ht="15.6" thickTop="1" thickBot="1" x14ac:dyDescent="0.35">
      <c r="A29" s="40" t="s">
        <v>311</v>
      </c>
      <c r="B29" s="38"/>
      <c r="C29" s="38"/>
      <c r="D29" s="61"/>
    </row>
    <row r="30" spans="1:4" ht="15.6" thickTop="1" thickBot="1" x14ac:dyDescent="0.35">
      <c r="A30" s="40" t="s">
        <v>311</v>
      </c>
      <c r="B30" s="38"/>
      <c r="C30" s="38"/>
      <c r="D30" s="61"/>
    </row>
    <row r="31" spans="1:4" ht="15" thickTop="1" x14ac:dyDescent="0.3">
      <c r="A31" s="61"/>
      <c r="B31" s="61"/>
      <c r="C31" s="61"/>
      <c r="D31" s="61"/>
    </row>
    <row r="32" spans="1:4" ht="15" thickBot="1" x14ac:dyDescent="0.35">
      <c r="A32" s="61"/>
      <c r="B32" s="61"/>
      <c r="C32" s="61"/>
      <c r="D32" s="61"/>
    </row>
    <row r="33" spans="1:4" ht="21.6" thickTop="1" thickBot="1" x14ac:dyDescent="0.35">
      <c r="A33" s="62" t="s">
        <v>312</v>
      </c>
      <c r="B33" s="62" t="s">
        <v>313</v>
      </c>
      <c r="C33" s="62" t="s">
        <v>314</v>
      </c>
      <c r="D33" s="61"/>
    </row>
    <row r="34" spans="1:4" ht="15.6" thickTop="1" thickBot="1" x14ac:dyDescent="0.35">
      <c r="A34" s="63" t="s">
        <v>315</v>
      </c>
      <c r="B34" s="63">
        <v>2</v>
      </c>
      <c r="C34" s="63">
        <v>1</v>
      </c>
      <c r="D34" s="61"/>
    </row>
    <row r="35" spans="1:4" ht="15" thickTop="1" x14ac:dyDescent="0.3"/>
    <row r="44" spans="1:4" ht="15" thickBot="1" x14ac:dyDescent="0.35"/>
    <row r="45" spans="1:4" ht="15.6" thickTop="1" thickBot="1" x14ac:dyDescent="0.35">
      <c r="B45" s="152" t="s">
        <v>81</v>
      </c>
      <c r="C45" s="153"/>
      <c r="D45" s="154"/>
    </row>
    <row r="46" spans="1:4" ht="15.6" thickTop="1" thickBot="1" x14ac:dyDescent="0.35">
      <c r="B46" s="155" t="s">
        <v>82</v>
      </c>
      <c r="C46" s="156"/>
      <c r="D46" s="96">
        <v>4.7300000000000002E-2</v>
      </c>
    </row>
    <row r="47" spans="1:4" ht="15.6" thickTop="1" thickBot="1" x14ac:dyDescent="0.35">
      <c r="B47" s="155" t="s">
        <v>83</v>
      </c>
      <c r="C47" s="156"/>
      <c r="D47" s="96">
        <v>5.57E-2</v>
      </c>
    </row>
    <row r="48" spans="1:4" ht="15.6" thickTop="1" thickBot="1" x14ac:dyDescent="0.35">
      <c r="B48" s="155" t="s">
        <v>40</v>
      </c>
      <c r="C48" s="156"/>
      <c r="D48" s="81">
        <f>SUM(D46:D47)</f>
        <v>0.10300000000000001</v>
      </c>
    </row>
    <row r="49" spans="2:4" ht="15" thickTop="1" x14ac:dyDescent="0.3">
      <c r="B49" s="82"/>
      <c r="C49" s="82"/>
    </row>
    <row r="50" spans="2:4" x14ac:dyDescent="0.3">
      <c r="B50" s="82"/>
      <c r="C50" s="82"/>
      <c r="D50" s="83"/>
    </row>
    <row r="51" spans="2:4" ht="15" thickBot="1" x14ac:dyDescent="0.35">
      <c r="C51" s="84"/>
      <c r="D51" s="84"/>
    </row>
    <row r="52" spans="2:4" ht="15.6" thickTop="1" thickBot="1" x14ac:dyDescent="0.35">
      <c r="B52" s="152" t="s">
        <v>323</v>
      </c>
      <c r="C52" s="153"/>
      <c r="D52" s="154"/>
    </row>
    <row r="53" spans="2:4" ht="15.6" thickTop="1" thickBot="1" x14ac:dyDescent="0.35">
      <c r="B53" s="155" t="s">
        <v>84</v>
      </c>
      <c r="C53" s="156"/>
      <c r="D53" s="80">
        <v>6.4999999999999997E-3</v>
      </c>
    </row>
    <row r="54" spans="2:4" ht="15.6" thickTop="1" thickBot="1" x14ac:dyDescent="0.35">
      <c r="B54" s="155" t="s">
        <v>85</v>
      </c>
      <c r="C54" s="156"/>
      <c r="D54" s="80">
        <v>0.03</v>
      </c>
    </row>
    <row r="55" spans="2:4" ht="15.6" thickTop="1" thickBot="1" x14ac:dyDescent="0.35">
      <c r="B55" s="155" t="s">
        <v>86</v>
      </c>
      <c r="C55" s="156"/>
      <c r="D55" s="80">
        <v>0.05</v>
      </c>
    </row>
    <row r="56" spans="2:4" ht="15.6" thickTop="1" thickBot="1" x14ac:dyDescent="0.35">
      <c r="B56" s="155" t="s">
        <v>40</v>
      </c>
      <c r="C56" s="156"/>
      <c r="D56" s="81">
        <f>SUM(D53:D55)</f>
        <v>8.6499999999999994E-2</v>
      </c>
    </row>
    <row r="57" spans="2:4" ht="15" thickTop="1" x14ac:dyDescent="0.3"/>
  </sheetData>
  <mergeCells count="11">
    <mergeCell ref="B56:C56"/>
    <mergeCell ref="B48:C48"/>
    <mergeCell ref="B52:D52"/>
    <mergeCell ref="B53:C53"/>
    <mergeCell ref="B54:C54"/>
    <mergeCell ref="B55:C55"/>
    <mergeCell ref="A2:B2"/>
    <mergeCell ref="A1:D1"/>
    <mergeCell ref="B45:D45"/>
    <mergeCell ref="B46:C46"/>
    <mergeCell ref="B47:C47"/>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EC7F58-CD6B-4E5B-9E4A-C62F23635BB4}">
  <dimension ref="A1:I177"/>
  <sheetViews>
    <sheetView zoomScale="90" zoomScaleNormal="90" workbookViewId="0">
      <selection activeCell="F8" sqref="F8"/>
    </sheetView>
  </sheetViews>
  <sheetFormatPr defaultRowHeight="14.4" x14ac:dyDescent="0.3"/>
  <cols>
    <col min="2" max="2" width="68.88671875" customWidth="1"/>
    <col min="3" max="3" width="15.44140625" customWidth="1"/>
    <col min="4" max="4" width="18.33203125" customWidth="1"/>
    <col min="5" max="5" width="16.33203125" customWidth="1"/>
    <col min="6" max="6" width="15.33203125" customWidth="1"/>
    <col min="7" max="7" width="18.109375" customWidth="1"/>
    <col min="8" max="8" width="14" customWidth="1"/>
    <col min="9" max="9" width="24.109375" customWidth="1"/>
  </cols>
  <sheetData>
    <row r="1" spans="1:9" s="3" customFormat="1" ht="15.6" thickTop="1" thickBot="1" x14ac:dyDescent="0.35">
      <c r="A1" s="144" t="s">
        <v>26</v>
      </c>
      <c r="B1" s="145"/>
      <c r="C1" s="145"/>
      <c r="D1" s="145"/>
      <c r="E1" s="145"/>
      <c r="F1" s="145"/>
      <c r="G1" s="145"/>
      <c r="H1" s="145"/>
      <c r="I1" s="146"/>
    </row>
    <row r="2" spans="1:9" s="3" customFormat="1" ht="15.6" thickTop="1" thickBot="1" x14ac:dyDescent="0.35">
      <c r="A2" s="144" t="s">
        <v>344</v>
      </c>
      <c r="B2" s="145"/>
      <c r="C2" s="145"/>
      <c r="D2" s="145"/>
      <c r="E2" s="145"/>
      <c r="F2" s="145"/>
      <c r="G2" s="145"/>
      <c r="H2" s="145"/>
      <c r="I2" s="146"/>
    </row>
    <row r="3" spans="1:9" s="3" customFormat="1" ht="55.5" customHeight="1" thickTop="1" thickBot="1" x14ac:dyDescent="0.35">
      <c r="A3" s="41" t="s">
        <v>1</v>
      </c>
      <c r="B3" s="41" t="s">
        <v>27</v>
      </c>
      <c r="C3" s="41" t="s">
        <v>28</v>
      </c>
      <c r="D3" s="41" t="s">
        <v>29</v>
      </c>
      <c r="E3" s="41" t="s">
        <v>30</v>
      </c>
      <c r="F3" s="41" t="s">
        <v>31</v>
      </c>
      <c r="G3" s="41" t="s">
        <v>32</v>
      </c>
      <c r="H3" s="41" t="s">
        <v>33</v>
      </c>
      <c r="I3" s="41" t="s">
        <v>34</v>
      </c>
    </row>
    <row r="4" spans="1:9" s="3" customFormat="1" ht="30" customHeight="1" thickTop="1" thickBot="1" x14ac:dyDescent="0.35">
      <c r="A4" s="17">
        <v>1</v>
      </c>
      <c r="B4" s="64" t="s">
        <v>35</v>
      </c>
      <c r="C4" s="157">
        <v>1</v>
      </c>
      <c r="D4" s="65">
        <v>2</v>
      </c>
      <c r="E4" s="17">
        <v>2</v>
      </c>
      <c r="F4" s="97">
        <v>79.599999999999994</v>
      </c>
      <c r="G4" s="67">
        <f>D4*E4*F4</f>
        <v>318.39999999999998</v>
      </c>
      <c r="H4" s="67">
        <f>TRUNC(($C$4*G4),2)</f>
        <v>318.39999999999998</v>
      </c>
      <c r="I4" s="67">
        <f>TRUNC((H4/12),2)</f>
        <v>26.53</v>
      </c>
    </row>
    <row r="5" spans="1:9" s="3" customFormat="1" ht="30" customHeight="1" thickTop="1" thickBot="1" x14ac:dyDescent="0.35">
      <c r="A5" s="17">
        <v>2</v>
      </c>
      <c r="B5" s="64" t="s">
        <v>36</v>
      </c>
      <c r="C5" s="158"/>
      <c r="D5" s="65">
        <v>2</v>
      </c>
      <c r="E5" s="17">
        <v>2</v>
      </c>
      <c r="F5" s="97">
        <v>127.28</v>
      </c>
      <c r="G5" s="67">
        <f>D5*E5*F5</f>
        <v>509.12</v>
      </c>
      <c r="H5" s="67">
        <f>TRUNC(($C$4*G5),2)</f>
        <v>509.12</v>
      </c>
      <c r="I5" s="67">
        <f>TRUNC((H5/12),2)</f>
        <v>42.42</v>
      </c>
    </row>
    <row r="6" spans="1:9" s="3" customFormat="1" ht="30" customHeight="1" thickTop="1" thickBot="1" x14ac:dyDescent="0.35">
      <c r="A6" s="17">
        <v>3</v>
      </c>
      <c r="B6" s="64" t="s">
        <v>37</v>
      </c>
      <c r="C6" s="158"/>
      <c r="D6" s="65">
        <v>1</v>
      </c>
      <c r="E6" s="17">
        <v>2</v>
      </c>
      <c r="F6" s="97">
        <v>50.68</v>
      </c>
      <c r="G6" s="67">
        <f>D6*E6*F6</f>
        <v>101.36</v>
      </c>
      <c r="H6" s="67">
        <f>TRUNC(($C$4*G6),2)</f>
        <v>101.36</v>
      </c>
      <c r="I6" s="67">
        <f>TRUNC((H6/12),2)</f>
        <v>8.44</v>
      </c>
    </row>
    <row r="7" spans="1:9" s="3" customFormat="1" ht="30" customHeight="1" thickTop="1" thickBot="1" x14ac:dyDescent="0.35">
      <c r="A7" s="17">
        <v>4</v>
      </c>
      <c r="B7" s="64" t="s">
        <v>38</v>
      </c>
      <c r="C7" s="158"/>
      <c r="D7" s="65">
        <v>1</v>
      </c>
      <c r="E7" s="17">
        <v>2</v>
      </c>
      <c r="F7" s="97">
        <v>85.57</v>
      </c>
      <c r="G7" s="67">
        <f>D7*E7*F7</f>
        <v>171.14</v>
      </c>
      <c r="H7" s="67">
        <f>TRUNC(($C$4*G7),2)</f>
        <v>171.14</v>
      </c>
      <c r="I7" s="67">
        <f>TRUNC((H7/12),2)</f>
        <v>14.26</v>
      </c>
    </row>
    <row r="8" spans="1:9" s="3" customFormat="1" ht="30" customHeight="1" thickTop="1" thickBot="1" x14ac:dyDescent="0.35">
      <c r="A8" s="17">
        <v>5</v>
      </c>
      <c r="B8" s="64" t="s">
        <v>39</v>
      </c>
      <c r="C8" s="159"/>
      <c r="D8" s="65">
        <v>1</v>
      </c>
      <c r="E8" s="17">
        <v>2</v>
      </c>
      <c r="F8" s="97">
        <v>9.23</v>
      </c>
      <c r="G8" s="67">
        <f>D8*E8*F8</f>
        <v>18.46</v>
      </c>
      <c r="H8" s="67">
        <f>TRUNC(($C$4*G8),2)</f>
        <v>18.46</v>
      </c>
      <c r="I8" s="67">
        <f>TRUNC((H8/12),2)</f>
        <v>1.53</v>
      </c>
    </row>
    <row r="9" spans="1:9" s="3" customFormat="1" ht="30" customHeight="1" thickTop="1" thickBot="1" x14ac:dyDescent="0.35">
      <c r="A9" s="17"/>
      <c r="B9" s="160" t="s">
        <v>40</v>
      </c>
      <c r="C9" s="161"/>
      <c r="D9" s="161"/>
      <c r="E9" s="162"/>
      <c r="F9" s="66">
        <f>SUM(F4:F8)</f>
        <v>352.36</v>
      </c>
      <c r="G9" s="66">
        <f>SUM(G4:G8)</f>
        <v>1118.48</v>
      </c>
      <c r="H9" s="66">
        <f>SUM(H4:H8)</f>
        <v>1118.48</v>
      </c>
      <c r="I9" s="98">
        <f>SUM(I4:I8)</f>
        <v>93.18</v>
      </c>
    </row>
    <row r="10" spans="1:9" s="3" customFormat="1" ht="15" thickTop="1" x14ac:dyDescent="0.3">
      <c r="A10" s="25"/>
      <c r="B10" s="25"/>
      <c r="C10" s="25"/>
      <c r="D10" s="25"/>
      <c r="E10" s="25"/>
      <c r="F10" s="25"/>
      <c r="G10" s="25"/>
      <c r="H10" s="25"/>
      <c r="I10" s="25"/>
    </row>
    <row r="11" spans="1:9" s="3" customFormat="1" ht="15" thickBot="1" x14ac:dyDescent="0.35">
      <c r="A11" s="25"/>
      <c r="B11" s="25"/>
      <c r="C11" s="25"/>
      <c r="D11" s="25"/>
      <c r="E11" s="25"/>
      <c r="F11" s="25"/>
      <c r="G11" s="25"/>
      <c r="H11" s="25"/>
      <c r="I11" s="25"/>
    </row>
    <row r="12" spans="1:9" s="3" customFormat="1" ht="15.6" thickTop="1" thickBot="1" x14ac:dyDescent="0.25">
      <c r="A12" s="163" t="s">
        <v>345</v>
      </c>
      <c r="B12" s="164"/>
      <c r="C12" s="164"/>
      <c r="D12" s="164"/>
      <c r="E12" s="164"/>
      <c r="F12" s="164"/>
      <c r="G12" s="164"/>
      <c r="H12" s="164"/>
      <c r="I12" s="165"/>
    </row>
    <row r="13" spans="1:9" ht="21.6" thickTop="1" thickBot="1" x14ac:dyDescent="0.35">
      <c r="A13" s="41" t="s">
        <v>1</v>
      </c>
      <c r="B13" s="41" t="s">
        <v>27</v>
      </c>
      <c r="C13" s="41" t="s">
        <v>28</v>
      </c>
      <c r="D13" s="41" t="s">
        <v>29</v>
      </c>
      <c r="E13" s="41" t="s">
        <v>30</v>
      </c>
      <c r="F13" s="41" t="s">
        <v>31</v>
      </c>
      <c r="G13" s="41" t="s">
        <v>32</v>
      </c>
      <c r="H13" s="41" t="s">
        <v>33</v>
      </c>
      <c r="I13" s="41" t="s">
        <v>34</v>
      </c>
    </row>
    <row r="14" spans="1:9" ht="20.399999999999999" x14ac:dyDescent="0.3">
      <c r="A14" s="17">
        <v>1</v>
      </c>
      <c r="B14" s="64" t="s">
        <v>35</v>
      </c>
      <c r="C14" s="157">
        <v>1</v>
      </c>
      <c r="D14" s="65">
        <v>1</v>
      </c>
      <c r="E14" s="17">
        <v>1</v>
      </c>
      <c r="F14" s="97">
        <v>79.599999999999994</v>
      </c>
      <c r="G14" s="67">
        <f>TRUNC((D14*E14*F14),2)</f>
        <v>79.599999999999994</v>
      </c>
      <c r="H14" s="67">
        <f>TRUNC(($C$4*G14),2)</f>
        <v>79.599999999999994</v>
      </c>
      <c r="I14" s="67">
        <f>TRUNC((H14/12),2)</f>
        <v>6.63</v>
      </c>
    </row>
    <row r="15" spans="1:9" x14ac:dyDescent="0.3">
      <c r="A15" s="17">
        <v>2</v>
      </c>
      <c r="B15" s="64" t="s">
        <v>36</v>
      </c>
      <c r="C15" s="158"/>
      <c r="D15" s="65">
        <v>1</v>
      </c>
      <c r="E15" s="17">
        <v>1</v>
      </c>
      <c r="F15" s="97">
        <v>127.28</v>
      </c>
      <c r="G15" s="67">
        <f>TRUNC((D15*E15*F15),2)</f>
        <v>127.28</v>
      </c>
      <c r="H15" s="67">
        <f>TRUNC(($C$4*G15),2)</f>
        <v>127.28</v>
      </c>
      <c r="I15" s="67">
        <f>TRUNC((H15/12),2)</f>
        <v>10.6</v>
      </c>
    </row>
    <row r="16" spans="1:9" ht="20.399999999999999" x14ac:dyDescent="0.3">
      <c r="A16" s="17">
        <v>3</v>
      </c>
      <c r="B16" s="64" t="s">
        <v>37</v>
      </c>
      <c r="C16" s="158"/>
      <c r="D16" s="65">
        <v>1</v>
      </c>
      <c r="E16" s="17">
        <v>1</v>
      </c>
      <c r="F16" s="97">
        <v>50.68</v>
      </c>
      <c r="G16" s="67">
        <f>TRUNC((D16*E16*F16),2)</f>
        <v>50.68</v>
      </c>
      <c r="H16" s="67">
        <f>TRUNC(($C$4*G16),2)</f>
        <v>50.68</v>
      </c>
      <c r="I16" s="67">
        <f>TRUNC((H16/12),2)</f>
        <v>4.22</v>
      </c>
    </row>
    <row r="17" spans="1:9" ht="20.399999999999999" x14ac:dyDescent="0.3">
      <c r="A17" s="17">
        <v>4</v>
      </c>
      <c r="B17" s="64" t="s">
        <v>38</v>
      </c>
      <c r="C17" s="158"/>
      <c r="D17" s="65">
        <v>1</v>
      </c>
      <c r="E17" s="17">
        <v>1</v>
      </c>
      <c r="F17" s="97">
        <v>85.57</v>
      </c>
      <c r="G17" s="67">
        <f>TRUNC((D17*E17*F17),2)</f>
        <v>85.57</v>
      </c>
      <c r="H17" s="67">
        <f>TRUNC(($C$4*G17),2)</f>
        <v>85.57</v>
      </c>
      <c r="I17" s="67">
        <f>TRUNC((H17/12),2)</f>
        <v>7.13</v>
      </c>
    </row>
    <row r="18" spans="1:9" x14ac:dyDescent="0.3">
      <c r="A18" s="17">
        <v>5</v>
      </c>
      <c r="B18" s="64" t="s">
        <v>39</v>
      </c>
      <c r="C18" s="159"/>
      <c r="D18" s="65">
        <v>1</v>
      </c>
      <c r="E18" s="17">
        <v>1</v>
      </c>
      <c r="F18" s="97">
        <v>9.23</v>
      </c>
      <c r="G18" s="67">
        <f>TRUNC((D18*E18*F18),2)</f>
        <v>9.23</v>
      </c>
      <c r="H18" s="67">
        <f>TRUNC(($C$4*G18),2)</f>
        <v>9.23</v>
      </c>
      <c r="I18" s="67">
        <f>TRUNC((H18/12),2)</f>
        <v>0.76</v>
      </c>
    </row>
    <row r="19" spans="1:9" ht="15.6" thickTop="1" thickBot="1" x14ac:dyDescent="0.35">
      <c r="A19" s="17"/>
      <c r="B19" s="160" t="s">
        <v>40</v>
      </c>
      <c r="C19" s="161"/>
      <c r="D19" s="161"/>
      <c r="E19" s="162"/>
      <c r="F19" s="66">
        <f>TRUNC(SUM(F14:F18),2)</f>
        <v>352.36</v>
      </c>
      <c r="G19" s="66">
        <f>TRUNC(SUM(G14:G18),2)</f>
        <v>352.36</v>
      </c>
      <c r="H19" s="66">
        <f>TRUNC(SUM(H14:H18),2)</f>
        <v>352.36</v>
      </c>
      <c r="I19" s="98">
        <f>TRUNC(SUM(I14:I18),2)</f>
        <v>29.34</v>
      </c>
    </row>
    <row r="20" spans="1:9" ht="15" thickTop="1" x14ac:dyDescent="0.3">
      <c r="A20" s="5"/>
      <c r="B20" s="5"/>
      <c r="C20" s="5"/>
      <c r="D20" s="5"/>
      <c r="E20" s="5"/>
      <c r="F20" s="5"/>
      <c r="G20" s="5"/>
      <c r="H20" s="5"/>
      <c r="I20" s="5"/>
    </row>
    <row r="21" spans="1:9" x14ac:dyDescent="0.3">
      <c r="A21" s="5"/>
      <c r="B21" s="7"/>
      <c r="C21" s="5"/>
      <c r="D21" s="5"/>
      <c r="E21" s="5"/>
      <c r="F21" s="5"/>
      <c r="G21" s="5"/>
      <c r="H21" s="5"/>
      <c r="I21" s="5"/>
    </row>
    <row r="22" spans="1:9" x14ac:dyDescent="0.3">
      <c r="A22" s="5"/>
      <c r="B22" s="5"/>
      <c r="C22" s="5"/>
      <c r="D22" s="5"/>
      <c r="E22" s="5"/>
      <c r="F22" s="5"/>
      <c r="G22" s="5"/>
      <c r="H22" s="5"/>
      <c r="I22" s="5"/>
    </row>
    <row r="23" spans="1:9" x14ac:dyDescent="0.3">
      <c r="A23" s="5"/>
      <c r="B23" s="5"/>
      <c r="C23" s="5"/>
      <c r="D23" s="5"/>
      <c r="E23" s="5"/>
      <c r="F23" s="5"/>
      <c r="G23" s="5"/>
      <c r="H23" s="5"/>
      <c r="I23" s="5"/>
    </row>
    <row r="24" spans="1:9" x14ac:dyDescent="0.3">
      <c r="A24" s="5"/>
      <c r="B24" s="5"/>
      <c r="C24" s="5"/>
      <c r="D24" s="5"/>
      <c r="E24" s="5"/>
      <c r="F24" s="5"/>
      <c r="G24" s="5"/>
      <c r="H24" s="5"/>
      <c r="I24" s="5"/>
    </row>
    <row r="25" spans="1:9" x14ac:dyDescent="0.3">
      <c r="A25" s="5"/>
      <c r="B25" s="5"/>
      <c r="C25" s="5"/>
      <c r="D25" s="5"/>
      <c r="E25" s="5"/>
      <c r="F25" s="5"/>
      <c r="G25" s="5"/>
      <c r="H25" s="5"/>
      <c r="I25" s="5"/>
    </row>
    <row r="26" spans="1:9" x14ac:dyDescent="0.3">
      <c r="A26" s="5"/>
      <c r="B26" s="5"/>
      <c r="C26" s="5"/>
      <c r="D26" s="5"/>
      <c r="E26" s="5"/>
      <c r="F26" s="5"/>
      <c r="G26" s="5"/>
      <c r="H26" s="5"/>
      <c r="I26" s="5"/>
    </row>
    <row r="27" spans="1:9" x14ac:dyDescent="0.3">
      <c r="A27" s="5"/>
      <c r="B27" s="5"/>
      <c r="C27" s="5"/>
      <c r="D27" s="5"/>
      <c r="E27" s="5"/>
      <c r="F27" s="5"/>
      <c r="G27" s="5"/>
      <c r="H27" s="5"/>
      <c r="I27" s="5"/>
    </row>
    <row r="28" spans="1:9" x14ac:dyDescent="0.3">
      <c r="A28" s="5"/>
      <c r="B28" s="5"/>
      <c r="C28" s="5"/>
      <c r="D28" s="5"/>
      <c r="E28" s="5"/>
      <c r="F28" s="5"/>
      <c r="G28" s="5"/>
      <c r="H28" s="5"/>
      <c r="I28" s="5"/>
    </row>
    <row r="29" spans="1:9" x14ac:dyDescent="0.3">
      <c r="A29" s="5"/>
      <c r="B29" s="5"/>
      <c r="C29" s="5"/>
      <c r="D29" s="5"/>
      <c r="E29" s="5"/>
      <c r="F29" s="5"/>
      <c r="G29" s="5"/>
      <c r="H29" s="5"/>
      <c r="I29" s="5"/>
    </row>
    <row r="30" spans="1:9" x14ac:dyDescent="0.3">
      <c r="A30" s="5"/>
      <c r="B30" s="5"/>
      <c r="C30" s="5"/>
      <c r="D30" s="5"/>
      <c r="E30" s="5"/>
      <c r="F30" s="5"/>
      <c r="G30" s="5"/>
      <c r="H30" s="5"/>
      <c r="I30" s="5"/>
    </row>
    <row r="31" spans="1:9" x14ac:dyDescent="0.3">
      <c r="A31" s="5"/>
      <c r="B31" s="5"/>
      <c r="C31" s="5"/>
      <c r="D31" s="5"/>
      <c r="E31" s="5"/>
      <c r="F31" s="5"/>
      <c r="G31" s="5"/>
      <c r="H31" s="5"/>
      <c r="I31" s="5"/>
    </row>
    <row r="32" spans="1:9" x14ac:dyDescent="0.3">
      <c r="A32" s="5"/>
      <c r="B32" s="5"/>
      <c r="C32" s="5"/>
      <c r="D32" s="5"/>
      <c r="E32" s="5"/>
      <c r="F32" s="5"/>
      <c r="G32" s="5"/>
      <c r="H32" s="5"/>
      <c r="I32" s="5"/>
    </row>
    <row r="33" spans="1:9" x14ac:dyDescent="0.3">
      <c r="A33" s="5"/>
      <c r="B33" s="5"/>
      <c r="C33" s="5"/>
      <c r="D33" s="5"/>
      <c r="E33" s="5"/>
      <c r="F33" s="5"/>
      <c r="G33" s="5"/>
      <c r="H33" s="5"/>
      <c r="I33" s="5"/>
    </row>
    <row r="34" spans="1:9" x14ac:dyDescent="0.3">
      <c r="A34" s="5"/>
      <c r="B34" s="5"/>
      <c r="C34" s="5"/>
      <c r="D34" s="5"/>
      <c r="E34" s="5"/>
      <c r="F34" s="5"/>
      <c r="G34" s="5"/>
      <c r="H34" s="5"/>
      <c r="I34" s="5"/>
    </row>
    <row r="35" spans="1:9" x14ac:dyDescent="0.3">
      <c r="A35" s="5"/>
      <c r="B35" s="5"/>
      <c r="C35" s="5"/>
      <c r="D35" s="5"/>
      <c r="E35" s="5"/>
      <c r="F35" s="5"/>
      <c r="G35" s="5"/>
      <c r="H35" s="5"/>
      <c r="I35" s="5"/>
    </row>
    <row r="36" spans="1:9" x14ac:dyDescent="0.3">
      <c r="A36" s="5"/>
      <c r="B36" s="5"/>
      <c r="C36" s="5"/>
      <c r="D36" s="5"/>
      <c r="E36" s="5"/>
      <c r="F36" s="5"/>
      <c r="G36" s="5"/>
      <c r="H36" s="5"/>
      <c r="I36" s="5"/>
    </row>
    <row r="37" spans="1:9" x14ac:dyDescent="0.3">
      <c r="A37" s="5"/>
      <c r="B37" s="5"/>
      <c r="C37" s="5"/>
      <c r="D37" s="5"/>
      <c r="E37" s="5"/>
      <c r="F37" s="5"/>
      <c r="G37" s="5"/>
      <c r="H37" s="5"/>
      <c r="I37" s="5"/>
    </row>
    <row r="38" spans="1:9" x14ac:dyDescent="0.3">
      <c r="A38" s="5"/>
      <c r="B38" s="5"/>
      <c r="C38" s="5"/>
      <c r="D38" s="5"/>
      <c r="E38" s="5"/>
      <c r="F38" s="5"/>
      <c r="G38" s="5"/>
      <c r="H38" s="5"/>
      <c r="I38" s="5"/>
    </row>
    <row r="39" spans="1:9" x14ac:dyDescent="0.3">
      <c r="A39" s="5"/>
      <c r="B39" s="5"/>
      <c r="C39" s="5"/>
      <c r="D39" s="5"/>
      <c r="E39" s="5"/>
      <c r="F39" s="5"/>
      <c r="G39" s="5"/>
      <c r="H39" s="5"/>
      <c r="I39" s="5"/>
    </row>
    <row r="40" spans="1:9" x14ac:dyDescent="0.3">
      <c r="A40" s="5"/>
      <c r="B40" s="5"/>
      <c r="C40" s="5"/>
      <c r="D40" s="5"/>
      <c r="E40" s="5"/>
      <c r="F40" s="5"/>
      <c r="G40" s="5"/>
      <c r="H40" s="5"/>
      <c r="I40" s="5"/>
    </row>
    <row r="41" spans="1:9" x14ac:dyDescent="0.3">
      <c r="A41" s="5"/>
      <c r="B41" s="5"/>
      <c r="C41" s="5"/>
      <c r="D41" s="5"/>
      <c r="E41" s="5"/>
      <c r="F41" s="5"/>
      <c r="G41" s="5"/>
      <c r="H41" s="5"/>
      <c r="I41" s="5"/>
    </row>
    <row r="42" spans="1:9" x14ac:dyDescent="0.3">
      <c r="A42" s="5"/>
      <c r="B42" s="5"/>
      <c r="C42" s="5"/>
      <c r="D42" s="5"/>
      <c r="E42" s="5"/>
      <c r="F42" s="5"/>
      <c r="G42" s="5"/>
      <c r="H42" s="5"/>
      <c r="I42" s="5"/>
    </row>
    <row r="43" spans="1:9" x14ac:dyDescent="0.3">
      <c r="A43" s="5"/>
      <c r="B43" s="5"/>
      <c r="C43" s="5"/>
      <c r="D43" s="5"/>
      <c r="E43" s="5"/>
      <c r="F43" s="5"/>
      <c r="G43" s="5"/>
      <c r="H43" s="5"/>
      <c r="I43" s="5"/>
    </row>
    <row r="44" spans="1:9" x14ac:dyDescent="0.3">
      <c r="A44" s="5"/>
      <c r="B44" s="5"/>
      <c r="C44" s="5"/>
      <c r="D44" s="5"/>
      <c r="E44" s="5"/>
      <c r="F44" s="5"/>
      <c r="G44" s="5"/>
      <c r="H44" s="5"/>
      <c r="I44" s="5"/>
    </row>
    <row r="45" spans="1:9" x14ac:dyDescent="0.3">
      <c r="A45" s="5"/>
      <c r="B45" s="5"/>
      <c r="C45" s="5"/>
      <c r="D45" s="5"/>
      <c r="E45" s="5"/>
      <c r="F45" s="5"/>
      <c r="G45" s="5"/>
      <c r="H45" s="5"/>
      <c r="I45" s="5"/>
    </row>
    <row r="46" spans="1:9" x14ac:dyDescent="0.3">
      <c r="A46" s="5"/>
      <c r="B46" s="5"/>
      <c r="C46" s="5"/>
      <c r="D46" s="5"/>
      <c r="E46" s="5"/>
      <c r="F46" s="5"/>
      <c r="G46" s="5"/>
      <c r="H46" s="5"/>
      <c r="I46" s="5"/>
    </row>
    <row r="47" spans="1:9" x14ac:dyDescent="0.3">
      <c r="A47" s="5"/>
      <c r="B47" s="5"/>
      <c r="C47" s="5"/>
      <c r="D47" s="5"/>
      <c r="E47" s="5"/>
      <c r="F47" s="5"/>
      <c r="G47" s="5"/>
      <c r="H47" s="5"/>
      <c r="I47" s="5"/>
    </row>
    <row r="48" spans="1:9" x14ac:dyDescent="0.3">
      <c r="A48" s="5"/>
      <c r="B48" s="5"/>
      <c r="C48" s="5"/>
      <c r="D48" s="5"/>
      <c r="E48" s="5"/>
      <c r="F48" s="5"/>
      <c r="G48" s="5"/>
      <c r="H48" s="5"/>
      <c r="I48" s="5"/>
    </row>
    <row r="49" spans="1:9" x14ac:dyDescent="0.3">
      <c r="A49" s="5"/>
      <c r="B49" s="5"/>
      <c r="C49" s="5"/>
      <c r="D49" s="5"/>
      <c r="E49" s="5"/>
      <c r="F49" s="5"/>
      <c r="G49" s="5"/>
      <c r="H49" s="5"/>
      <c r="I49" s="5"/>
    </row>
    <row r="50" spans="1:9" x14ac:dyDescent="0.3">
      <c r="A50" s="5"/>
      <c r="B50" s="5"/>
      <c r="C50" s="5"/>
      <c r="D50" s="5"/>
      <c r="E50" s="5"/>
      <c r="F50" s="5"/>
      <c r="G50" s="5"/>
      <c r="H50" s="5"/>
      <c r="I50" s="5"/>
    </row>
    <row r="51" spans="1:9" x14ac:dyDescent="0.3">
      <c r="A51" s="5"/>
      <c r="B51" s="5"/>
      <c r="C51" s="5"/>
      <c r="D51" s="5"/>
      <c r="E51" s="5"/>
      <c r="F51" s="5"/>
      <c r="G51" s="5"/>
      <c r="H51" s="5"/>
      <c r="I51" s="5"/>
    </row>
    <row r="52" spans="1:9" x14ac:dyDescent="0.3">
      <c r="A52" s="5"/>
      <c r="B52" s="5"/>
      <c r="C52" s="5"/>
      <c r="D52" s="5"/>
      <c r="E52" s="5"/>
      <c r="F52" s="5"/>
      <c r="G52" s="5"/>
      <c r="H52" s="5"/>
      <c r="I52" s="5"/>
    </row>
    <row r="53" spans="1:9" x14ac:dyDescent="0.3">
      <c r="A53" s="5"/>
      <c r="B53" s="5"/>
      <c r="C53" s="5"/>
      <c r="D53" s="5"/>
      <c r="E53" s="5"/>
      <c r="F53" s="5"/>
      <c r="G53" s="5"/>
      <c r="H53" s="5"/>
      <c r="I53" s="5"/>
    </row>
    <row r="54" spans="1:9" x14ac:dyDescent="0.3">
      <c r="A54" s="5"/>
      <c r="B54" s="5"/>
      <c r="C54" s="5"/>
      <c r="D54" s="5"/>
      <c r="E54" s="5"/>
      <c r="F54" s="5"/>
      <c r="G54" s="5"/>
      <c r="H54" s="5"/>
      <c r="I54" s="5"/>
    </row>
    <row r="55" spans="1:9" x14ac:dyDescent="0.3">
      <c r="A55" s="5"/>
      <c r="B55" s="5"/>
      <c r="C55" s="5"/>
      <c r="D55" s="5"/>
      <c r="E55" s="5"/>
      <c r="F55" s="5"/>
      <c r="G55" s="5"/>
      <c r="H55" s="5"/>
      <c r="I55" s="5"/>
    </row>
    <row r="56" spans="1:9" x14ac:dyDescent="0.3">
      <c r="A56" s="5"/>
      <c r="B56" s="5"/>
      <c r="C56" s="5"/>
      <c r="D56" s="5"/>
      <c r="E56" s="5"/>
      <c r="F56" s="5"/>
      <c r="G56" s="5"/>
      <c r="H56" s="5"/>
      <c r="I56" s="5"/>
    </row>
    <row r="57" spans="1:9" x14ac:dyDescent="0.3">
      <c r="A57" s="5"/>
      <c r="B57" s="5"/>
      <c r="C57" s="5"/>
      <c r="D57" s="5"/>
      <c r="E57" s="5"/>
      <c r="F57" s="5"/>
      <c r="G57" s="5"/>
      <c r="H57" s="5"/>
      <c r="I57" s="5"/>
    </row>
    <row r="58" spans="1:9" x14ac:dyDescent="0.3">
      <c r="A58" s="5"/>
      <c r="B58" s="5"/>
      <c r="C58" s="5"/>
      <c r="D58" s="5"/>
      <c r="E58" s="5"/>
      <c r="F58" s="5"/>
      <c r="G58" s="5"/>
      <c r="H58" s="5"/>
      <c r="I58" s="5"/>
    </row>
    <row r="59" spans="1:9" x14ac:dyDescent="0.3">
      <c r="A59" s="5"/>
      <c r="B59" s="5"/>
      <c r="C59" s="5"/>
      <c r="D59" s="5"/>
      <c r="E59" s="5"/>
      <c r="F59" s="5"/>
      <c r="G59" s="5"/>
      <c r="H59" s="5"/>
      <c r="I59" s="5"/>
    </row>
    <row r="60" spans="1:9" x14ac:dyDescent="0.3">
      <c r="A60" s="5"/>
      <c r="B60" s="5"/>
      <c r="C60" s="5"/>
      <c r="D60" s="5"/>
      <c r="E60" s="5"/>
      <c r="F60" s="5"/>
      <c r="G60" s="5"/>
      <c r="H60" s="5"/>
      <c r="I60" s="5"/>
    </row>
    <row r="61" spans="1:9" x14ac:dyDescent="0.3">
      <c r="A61" s="5"/>
      <c r="B61" s="5"/>
      <c r="C61" s="5"/>
      <c r="D61" s="5"/>
      <c r="E61" s="5"/>
      <c r="F61" s="5"/>
      <c r="G61" s="5"/>
      <c r="H61" s="5"/>
      <c r="I61" s="5"/>
    </row>
    <row r="62" spans="1:9" x14ac:dyDescent="0.3">
      <c r="A62" s="5"/>
      <c r="B62" s="5"/>
      <c r="C62" s="5"/>
      <c r="D62" s="5"/>
      <c r="E62" s="5"/>
      <c r="F62" s="5"/>
      <c r="G62" s="5"/>
      <c r="H62" s="5"/>
      <c r="I62" s="5"/>
    </row>
    <row r="63" spans="1:9" x14ac:dyDescent="0.3">
      <c r="A63" s="5"/>
      <c r="B63" s="5"/>
      <c r="C63" s="5"/>
      <c r="D63" s="5"/>
      <c r="E63" s="5"/>
      <c r="F63" s="5"/>
      <c r="G63" s="5"/>
      <c r="H63" s="5"/>
      <c r="I63" s="5"/>
    </row>
    <row r="64" spans="1:9" x14ac:dyDescent="0.3">
      <c r="A64" s="5"/>
      <c r="B64" s="5"/>
      <c r="C64" s="5"/>
      <c r="D64" s="5"/>
      <c r="E64" s="5"/>
      <c r="F64" s="5"/>
      <c r="G64" s="5"/>
      <c r="H64" s="5"/>
      <c r="I64" s="5"/>
    </row>
    <row r="65" spans="1:9" x14ac:dyDescent="0.3">
      <c r="A65" s="5"/>
      <c r="B65" s="5"/>
      <c r="C65" s="5"/>
      <c r="D65" s="5"/>
      <c r="E65" s="5"/>
      <c r="F65" s="5"/>
      <c r="G65" s="5"/>
      <c r="H65" s="5"/>
      <c r="I65" s="5"/>
    </row>
    <row r="66" spans="1:9" x14ac:dyDescent="0.3">
      <c r="A66" s="5"/>
      <c r="B66" s="5"/>
      <c r="C66" s="5"/>
      <c r="D66" s="5"/>
      <c r="E66" s="5"/>
      <c r="F66" s="5"/>
      <c r="G66" s="5"/>
      <c r="H66" s="5"/>
      <c r="I66" s="5"/>
    </row>
    <row r="67" spans="1:9" x14ac:dyDescent="0.3">
      <c r="A67" s="5"/>
      <c r="B67" s="5"/>
      <c r="C67" s="5"/>
      <c r="D67" s="5"/>
      <c r="E67" s="5"/>
      <c r="F67" s="5"/>
      <c r="G67" s="5"/>
      <c r="H67" s="5"/>
      <c r="I67" s="5"/>
    </row>
    <row r="68" spans="1:9" x14ac:dyDescent="0.3">
      <c r="A68" s="5"/>
      <c r="B68" s="5"/>
      <c r="C68" s="5"/>
      <c r="D68" s="5"/>
      <c r="E68" s="5"/>
      <c r="F68" s="5"/>
      <c r="G68" s="5"/>
      <c r="H68" s="5"/>
      <c r="I68" s="5"/>
    </row>
    <row r="69" spans="1:9" x14ac:dyDescent="0.3">
      <c r="A69" s="5"/>
      <c r="B69" s="5"/>
      <c r="C69" s="5"/>
      <c r="D69" s="5"/>
      <c r="E69" s="5"/>
      <c r="F69" s="5"/>
      <c r="G69" s="5"/>
      <c r="H69" s="5"/>
      <c r="I69" s="5"/>
    </row>
    <row r="70" spans="1:9" x14ac:dyDescent="0.3">
      <c r="A70" s="5"/>
      <c r="B70" s="5"/>
      <c r="C70" s="5"/>
      <c r="D70" s="5"/>
      <c r="E70" s="5"/>
      <c r="F70" s="5"/>
      <c r="G70" s="5"/>
      <c r="H70" s="5"/>
      <c r="I70" s="5"/>
    </row>
    <row r="71" spans="1:9" x14ac:dyDescent="0.3">
      <c r="A71" s="5"/>
      <c r="B71" s="5"/>
      <c r="C71" s="5"/>
      <c r="D71" s="5"/>
      <c r="E71" s="5"/>
      <c r="F71" s="5"/>
      <c r="G71" s="5"/>
      <c r="H71" s="5"/>
      <c r="I71" s="5"/>
    </row>
    <row r="72" spans="1:9" x14ac:dyDescent="0.3">
      <c r="A72" s="5"/>
      <c r="B72" s="5"/>
      <c r="C72" s="5"/>
      <c r="D72" s="5"/>
      <c r="E72" s="5"/>
      <c r="F72" s="5"/>
      <c r="G72" s="5"/>
      <c r="H72" s="5"/>
      <c r="I72" s="5"/>
    </row>
    <row r="73" spans="1:9" x14ac:dyDescent="0.3">
      <c r="A73" s="5"/>
      <c r="B73" s="5"/>
      <c r="C73" s="5"/>
      <c r="D73" s="5"/>
      <c r="E73" s="5"/>
      <c r="F73" s="5"/>
      <c r="G73" s="5"/>
      <c r="H73" s="5"/>
      <c r="I73" s="5"/>
    </row>
    <row r="74" spans="1:9" x14ac:dyDescent="0.3">
      <c r="A74" s="5"/>
      <c r="B74" s="5"/>
      <c r="C74" s="5"/>
      <c r="D74" s="5"/>
      <c r="E74" s="5"/>
      <c r="F74" s="5"/>
      <c r="G74" s="5"/>
      <c r="H74" s="5"/>
      <c r="I74" s="5"/>
    </row>
    <row r="75" spans="1:9" x14ac:dyDescent="0.3">
      <c r="A75" s="5"/>
      <c r="B75" s="5"/>
      <c r="C75" s="5"/>
      <c r="D75" s="5"/>
      <c r="E75" s="5"/>
      <c r="F75" s="5"/>
      <c r="G75" s="5"/>
      <c r="H75" s="5"/>
      <c r="I75" s="5"/>
    </row>
    <row r="76" spans="1:9" x14ac:dyDescent="0.3">
      <c r="A76" s="5"/>
      <c r="B76" s="5"/>
      <c r="C76" s="5"/>
      <c r="D76" s="5"/>
      <c r="E76" s="5"/>
      <c r="F76" s="5"/>
      <c r="G76" s="5"/>
      <c r="H76" s="5"/>
      <c r="I76" s="5"/>
    </row>
    <row r="77" spans="1:9" x14ac:dyDescent="0.3">
      <c r="A77" s="5"/>
      <c r="B77" s="5"/>
      <c r="C77" s="5"/>
      <c r="D77" s="5"/>
      <c r="E77" s="5"/>
      <c r="F77" s="5"/>
      <c r="G77" s="5"/>
      <c r="H77" s="5"/>
      <c r="I77" s="5"/>
    </row>
    <row r="78" spans="1:9" x14ac:dyDescent="0.3">
      <c r="A78" s="5"/>
      <c r="B78" s="5"/>
      <c r="C78" s="5"/>
      <c r="D78" s="5"/>
      <c r="E78" s="5"/>
      <c r="F78" s="5"/>
      <c r="G78" s="5"/>
      <c r="H78" s="5"/>
      <c r="I78" s="5"/>
    </row>
    <row r="79" spans="1:9" x14ac:dyDescent="0.3">
      <c r="A79" s="5"/>
      <c r="B79" s="5"/>
      <c r="C79" s="5"/>
      <c r="D79" s="5"/>
      <c r="E79" s="5"/>
      <c r="F79" s="5"/>
      <c r="G79" s="5"/>
      <c r="H79" s="5"/>
      <c r="I79" s="5"/>
    </row>
    <row r="80" spans="1:9" x14ac:dyDescent="0.3">
      <c r="A80" s="5"/>
      <c r="B80" s="5"/>
      <c r="C80" s="5"/>
      <c r="D80" s="5"/>
      <c r="E80" s="5"/>
      <c r="F80" s="5"/>
      <c r="G80" s="5"/>
      <c r="H80" s="5"/>
      <c r="I80" s="5"/>
    </row>
    <row r="81" spans="1:9" x14ac:dyDescent="0.3">
      <c r="A81" s="5"/>
      <c r="B81" s="5"/>
      <c r="C81" s="5"/>
      <c r="D81" s="5"/>
      <c r="E81" s="5"/>
      <c r="F81" s="5"/>
      <c r="G81" s="5"/>
      <c r="H81" s="5"/>
      <c r="I81" s="5"/>
    </row>
    <row r="82" spans="1:9" x14ac:dyDescent="0.3">
      <c r="A82" s="5"/>
      <c r="B82" s="5"/>
      <c r="C82" s="5"/>
      <c r="D82" s="5"/>
      <c r="E82" s="5"/>
      <c r="F82" s="5"/>
      <c r="G82" s="5"/>
      <c r="H82" s="5"/>
      <c r="I82" s="5"/>
    </row>
    <row r="83" spans="1:9" x14ac:dyDescent="0.3">
      <c r="A83" s="5"/>
      <c r="B83" s="5"/>
      <c r="C83" s="5"/>
      <c r="D83" s="5"/>
      <c r="E83" s="5"/>
      <c r="F83" s="5"/>
      <c r="G83" s="5"/>
      <c r="H83" s="5"/>
      <c r="I83" s="5"/>
    </row>
    <row r="84" spans="1:9" x14ac:dyDescent="0.3">
      <c r="A84" s="5"/>
      <c r="B84" s="5"/>
      <c r="C84" s="5"/>
      <c r="D84" s="5"/>
      <c r="E84" s="5"/>
      <c r="F84" s="5"/>
      <c r="G84" s="5"/>
      <c r="H84" s="5"/>
      <c r="I84" s="5"/>
    </row>
    <row r="85" spans="1:9" x14ac:dyDescent="0.3">
      <c r="A85" s="5"/>
      <c r="B85" s="5"/>
      <c r="C85" s="5"/>
      <c r="D85" s="5"/>
      <c r="E85" s="5"/>
      <c r="F85" s="5"/>
      <c r="G85" s="5"/>
      <c r="H85" s="5"/>
      <c r="I85" s="5"/>
    </row>
    <row r="86" spans="1:9" x14ac:dyDescent="0.3">
      <c r="A86" s="5"/>
      <c r="B86" s="5"/>
      <c r="C86" s="5"/>
      <c r="D86" s="5"/>
      <c r="E86" s="5"/>
      <c r="F86" s="5"/>
      <c r="G86" s="5"/>
      <c r="H86" s="5"/>
      <c r="I86" s="5"/>
    </row>
    <row r="87" spans="1:9" x14ac:dyDescent="0.3">
      <c r="A87" s="5"/>
      <c r="B87" s="5"/>
      <c r="C87" s="5"/>
      <c r="D87" s="5"/>
      <c r="E87" s="5"/>
      <c r="F87" s="5"/>
      <c r="G87" s="5"/>
      <c r="H87" s="5"/>
      <c r="I87" s="5"/>
    </row>
    <row r="88" spans="1:9" x14ac:dyDescent="0.3">
      <c r="A88" s="5"/>
      <c r="B88" s="5"/>
      <c r="C88" s="5"/>
      <c r="D88" s="5"/>
      <c r="E88" s="5"/>
      <c r="F88" s="5"/>
      <c r="G88" s="5"/>
      <c r="H88" s="5"/>
      <c r="I88" s="5"/>
    </row>
    <row r="89" spans="1:9" x14ac:dyDescent="0.3">
      <c r="A89" s="5"/>
      <c r="B89" s="5"/>
      <c r="C89" s="5"/>
      <c r="D89" s="5"/>
      <c r="E89" s="5"/>
      <c r="F89" s="5"/>
      <c r="G89" s="5"/>
      <c r="H89" s="5"/>
      <c r="I89" s="5"/>
    </row>
    <row r="90" spans="1:9" x14ac:dyDescent="0.3">
      <c r="A90" s="5"/>
      <c r="B90" s="5"/>
      <c r="C90" s="5"/>
      <c r="D90" s="5"/>
      <c r="E90" s="5"/>
      <c r="F90" s="5"/>
      <c r="G90" s="5"/>
      <c r="H90" s="5"/>
      <c r="I90" s="5"/>
    </row>
    <row r="91" spans="1:9" x14ac:dyDescent="0.3">
      <c r="A91" s="5"/>
      <c r="B91" s="5"/>
      <c r="C91" s="5"/>
      <c r="D91" s="5"/>
      <c r="E91" s="5"/>
      <c r="F91" s="5"/>
      <c r="G91" s="5"/>
      <c r="H91" s="5"/>
      <c r="I91" s="5"/>
    </row>
    <row r="92" spans="1:9" x14ac:dyDescent="0.3">
      <c r="A92" s="5"/>
      <c r="B92" s="5"/>
      <c r="C92" s="5"/>
      <c r="D92" s="5"/>
      <c r="E92" s="5"/>
      <c r="F92" s="5"/>
      <c r="G92" s="5"/>
      <c r="H92" s="5"/>
      <c r="I92" s="5"/>
    </row>
    <row r="93" spans="1:9" x14ac:dyDescent="0.3">
      <c r="A93" s="5"/>
      <c r="B93" s="5"/>
      <c r="C93" s="5"/>
      <c r="D93" s="5"/>
      <c r="E93" s="5"/>
      <c r="F93" s="5"/>
      <c r="G93" s="5"/>
      <c r="H93" s="5"/>
      <c r="I93" s="5"/>
    </row>
    <row r="94" spans="1:9" x14ac:dyDescent="0.3">
      <c r="A94" s="5"/>
      <c r="B94" s="5"/>
      <c r="C94" s="5"/>
      <c r="D94" s="5"/>
      <c r="E94" s="5"/>
      <c r="F94" s="5"/>
      <c r="G94" s="5"/>
      <c r="H94" s="5"/>
      <c r="I94" s="5"/>
    </row>
    <row r="95" spans="1:9" x14ac:dyDescent="0.3">
      <c r="A95" s="5"/>
      <c r="B95" s="5"/>
      <c r="C95" s="5"/>
      <c r="D95" s="5"/>
      <c r="E95" s="5"/>
      <c r="F95" s="5"/>
      <c r="G95" s="5"/>
      <c r="H95" s="5"/>
      <c r="I95" s="5"/>
    </row>
    <row r="96" spans="1:9" x14ac:dyDescent="0.3">
      <c r="A96" s="5"/>
      <c r="B96" s="5"/>
      <c r="C96" s="5"/>
      <c r="D96" s="5"/>
      <c r="E96" s="5"/>
      <c r="F96" s="5"/>
      <c r="G96" s="5"/>
      <c r="H96" s="5"/>
      <c r="I96" s="5"/>
    </row>
    <row r="97" spans="1:9" x14ac:dyDescent="0.3">
      <c r="A97" s="5"/>
      <c r="B97" s="5"/>
      <c r="C97" s="5"/>
      <c r="D97" s="5"/>
      <c r="E97" s="5"/>
      <c r="F97" s="5"/>
      <c r="G97" s="5"/>
      <c r="H97" s="5"/>
      <c r="I97" s="5"/>
    </row>
    <row r="98" spans="1:9" x14ac:dyDescent="0.3">
      <c r="A98" s="5"/>
      <c r="B98" s="5"/>
      <c r="C98" s="5"/>
      <c r="D98" s="5"/>
      <c r="E98" s="5"/>
      <c r="F98" s="5"/>
      <c r="G98" s="5"/>
      <c r="H98" s="5"/>
      <c r="I98" s="5"/>
    </row>
    <row r="99" spans="1:9" x14ac:dyDescent="0.3">
      <c r="A99" s="5"/>
      <c r="B99" s="5"/>
      <c r="C99" s="5"/>
      <c r="D99" s="5"/>
      <c r="E99" s="5"/>
      <c r="F99" s="5"/>
      <c r="G99" s="5"/>
      <c r="H99" s="5"/>
      <c r="I99" s="5"/>
    </row>
    <row r="100" spans="1:9" x14ac:dyDescent="0.3">
      <c r="A100" s="5"/>
      <c r="B100" s="5"/>
      <c r="C100" s="5"/>
      <c r="D100" s="5"/>
      <c r="E100" s="5"/>
      <c r="F100" s="5"/>
      <c r="G100" s="5"/>
      <c r="H100" s="5"/>
      <c r="I100" s="5"/>
    </row>
    <row r="101" spans="1:9" x14ac:dyDescent="0.3">
      <c r="A101" s="5"/>
      <c r="B101" s="5"/>
      <c r="C101" s="5"/>
      <c r="D101" s="5"/>
      <c r="E101" s="5"/>
      <c r="F101" s="5"/>
      <c r="G101" s="5"/>
      <c r="H101" s="5"/>
      <c r="I101" s="5"/>
    </row>
    <row r="102" spans="1:9" x14ac:dyDescent="0.3">
      <c r="A102" s="5"/>
      <c r="B102" s="5"/>
      <c r="C102" s="5"/>
      <c r="D102" s="5"/>
      <c r="E102" s="5"/>
      <c r="F102" s="5"/>
      <c r="G102" s="5"/>
      <c r="H102" s="5"/>
      <c r="I102" s="5"/>
    </row>
    <row r="103" spans="1:9" x14ac:dyDescent="0.3">
      <c r="A103" s="5"/>
      <c r="B103" s="5"/>
      <c r="C103" s="5"/>
      <c r="D103" s="5"/>
      <c r="E103" s="5"/>
      <c r="F103" s="5"/>
      <c r="G103" s="5"/>
      <c r="H103" s="5"/>
      <c r="I103" s="5"/>
    </row>
    <row r="104" spans="1:9" x14ac:dyDescent="0.3">
      <c r="A104" s="5"/>
      <c r="B104" s="5"/>
      <c r="C104" s="5"/>
      <c r="D104" s="5"/>
      <c r="E104" s="5"/>
      <c r="F104" s="5"/>
      <c r="G104" s="5"/>
      <c r="H104" s="5"/>
      <c r="I104" s="5"/>
    </row>
    <row r="105" spans="1:9" x14ac:dyDescent="0.3">
      <c r="A105" s="5"/>
      <c r="B105" s="5"/>
      <c r="C105" s="5"/>
      <c r="D105" s="5"/>
      <c r="E105" s="5"/>
      <c r="F105" s="5"/>
      <c r="G105" s="5"/>
      <c r="H105" s="5"/>
      <c r="I105" s="5"/>
    </row>
    <row r="106" spans="1:9" x14ac:dyDescent="0.3">
      <c r="A106" s="5"/>
      <c r="B106" s="5"/>
      <c r="C106" s="5"/>
      <c r="D106" s="5"/>
      <c r="E106" s="5"/>
      <c r="F106" s="5"/>
      <c r="G106" s="5"/>
      <c r="H106" s="5"/>
      <c r="I106" s="5"/>
    </row>
    <row r="107" spans="1:9" x14ac:dyDescent="0.3">
      <c r="A107" s="5"/>
      <c r="B107" s="5"/>
      <c r="C107" s="5"/>
      <c r="D107" s="5"/>
      <c r="E107" s="5"/>
      <c r="F107" s="5"/>
      <c r="G107" s="5"/>
      <c r="H107" s="5"/>
      <c r="I107" s="5"/>
    </row>
    <row r="108" spans="1:9" x14ac:dyDescent="0.3">
      <c r="A108" s="5"/>
      <c r="B108" s="5"/>
      <c r="C108" s="5"/>
      <c r="D108" s="5"/>
      <c r="E108" s="5"/>
      <c r="F108" s="5"/>
      <c r="G108" s="5"/>
      <c r="H108" s="5"/>
      <c r="I108" s="5"/>
    </row>
    <row r="109" spans="1:9" x14ac:dyDescent="0.3">
      <c r="A109" s="5"/>
      <c r="B109" s="5"/>
      <c r="C109" s="5"/>
      <c r="D109" s="5"/>
      <c r="E109" s="5"/>
      <c r="F109" s="5"/>
      <c r="G109" s="5"/>
      <c r="H109" s="5"/>
      <c r="I109" s="5"/>
    </row>
    <row r="110" spans="1:9" x14ac:dyDescent="0.3">
      <c r="A110" s="5"/>
      <c r="B110" s="5"/>
      <c r="C110" s="5"/>
      <c r="D110" s="5"/>
      <c r="E110" s="5"/>
      <c r="F110" s="5"/>
      <c r="G110" s="5"/>
      <c r="H110" s="5"/>
      <c r="I110" s="5"/>
    </row>
    <row r="111" spans="1:9" x14ac:dyDescent="0.3">
      <c r="A111" s="5"/>
      <c r="B111" s="5"/>
      <c r="C111" s="5"/>
      <c r="D111" s="5"/>
      <c r="E111" s="5"/>
      <c r="F111" s="5"/>
      <c r="G111" s="5"/>
      <c r="H111" s="5"/>
      <c r="I111" s="5"/>
    </row>
    <row r="112" spans="1:9" x14ac:dyDescent="0.3">
      <c r="A112" s="5"/>
      <c r="B112" s="5"/>
      <c r="C112" s="5"/>
      <c r="D112" s="5"/>
      <c r="E112" s="5"/>
      <c r="F112" s="5"/>
      <c r="G112" s="5"/>
      <c r="H112" s="5"/>
      <c r="I112" s="5"/>
    </row>
    <row r="113" spans="1:9" x14ac:dyDescent="0.3">
      <c r="A113" s="5"/>
      <c r="B113" s="5"/>
      <c r="C113" s="5"/>
      <c r="D113" s="5"/>
      <c r="E113" s="5"/>
      <c r="F113" s="5"/>
      <c r="G113" s="5"/>
      <c r="H113" s="5"/>
      <c r="I113" s="5"/>
    </row>
    <row r="114" spans="1:9" x14ac:dyDescent="0.3">
      <c r="A114" s="5"/>
      <c r="B114" s="5"/>
      <c r="C114" s="5"/>
      <c r="D114" s="5"/>
      <c r="E114" s="5"/>
      <c r="F114" s="5"/>
      <c r="G114" s="5"/>
      <c r="H114" s="5"/>
      <c r="I114" s="5"/>
    </row>
    <row r="115" spans="1:9" x14ac:dyDescent="0.3">
      <c r="A115" s="5"/>
      <c r="B115" s="5"/>
      <c r="C115" s="5"/>
      <c r="D115" s="5"/>
      <c r="E115" s="5"/>
      <c r="F115" s="5"/>
      <c r="G115" s="5"/>
      <c r="H115" s="5"/>
      <c r="I115" s="5"/>
    </row>
    <row r="116" spans="1:9" x14ac:dyDescent="0.3">
      <c r="A116" s="5"/>
      <c r="B116" s="5"/>
      <c r="C116" s="5"/>
      <c r="D116" s="5"/>
      <c r="E116" s="5"/>
      <c r="F116" s="5"/>
      <c r="G116" s="5"/>
      <c r="H116" s="5"/>
      <c r="I116" s="5"/>
    </row>
    <row r="117" spans="1:9" x14ac:dyDescent="0.3">
      <c r="A117" s="5"/>
      <c r="B117" s="5"/>
      <c r="C117" s="5"/>
      <c r="D117" s="5"/>
      <c r="E117" s="5"/>
      <c r="F117" s="5"/>
      <c r="G117" s="5"/>
      <c r="H117" s="5"/>
      <c r="I117" s="5"/>
    </row>
    <row r="118" spans="1:9" x14ac:dyDescent="0.3">
      <c r="A118" s="5"/>
      <c r="B118" s="5"/>
      <c r="C118" s="5"/>
      <c r="D118" s="5"/>
      <c r="E118" s="5"/>
      <c r="F118" s="5"/>
      <c r="G118" s="5"/>
      <c r="H118" s="5"/>
      <c r="I118" s="5"/>
    </row>
    <row r="119" spans="1:9" x14ac:dyDescent="0.3">
      <c r="A119" s="5"/>
      <c r="B119" s="5"/>
      <c r="C119" s="5"/>
      <c r="D119" s="5"/>
      <c r="E119" s="5"/>
      <c r="F119" s="5"/>
      <c r="G119" s="5"/>
      <c r="H119" s="5"/>
      <c r="I119" s="5"/>
    </row>
    <row r="120" spans="1:9" x14ac:dyDescent="0.3">
      <c r="A120" s="5"/>
      <c r="B120" s="5"/>
      <c r="C120" s="5"/>
      <c r="D120" s="5"/>
      <c r="E120" s="5"/>
      <c r="F120" s="5"/>
      <c r="G120" s="5"/>
      <c r="H120" s="5"/>
      <c r="I120" s="5"/>
    </row>
    <row r="121" spans="1:9" x14ac:dyDescent="0.3">
      <c r="A121" s="5"/>
      <c r="B121" s="5"/>
      <c r="C121" s="5"/>
      <c r="D121" s="5"/>
      <c r="E121" s="5"/>
      <c r="F121" s="5"/>
      <c r="G121" s="5"/>
      <c r="H121" s="5"/>
      <c r="I121" s="5"/>
    </row>
    <row r="122" spans="1:9" x14ac:dyDescent="0.3">
      <c r="A122" s="5"/>
      <c r="B122" s="5"/>
      <c r="C122" s="5"/>
      <c r="D122" s="5"/>
      <c r="E122" s="5"/>
      <c r="F122" s="5"/>
      <c r="G122" s="5"/>
      <c r="H122" s="5"/>
      <c r="I122" s="5"/>
    </row>
    <row r="123" spans="1:9" x14ac:dyDescent="0.3">
      <c r="A123" s="5"/>
      <c r="B123" s="5"/>
      <c r="C123" s="5"/>
      <c r="D123" s="5"/>
      <c r="E123" s="5"/>
      <c r="F123" s="5"/>
      <c r="G123" s="5"/>
      <c r="H123" s="5"/>
      <c r="I123" s="5"/>
    </row>
    <row r="124" spans="1:9" x14ac:dyDescent="0.3">
      <c r="A124" s="5"/>
      <c r="B124" s="5"/>
      <c r="C124" s="5"/>
      <c r="D124" s="5"/>
      <c r="E124" s="5"/>
      <c r="F124" s="5"/>
      <c r="G124" s="5"/>
      <c r="H124" s="5"/>
      <c r="I124" s="5"/>
    </row>
    <row r="125" spans="1:9" x14ac:dyDescent="0.3">
      <c r="A125" s="5"/>
      <c r="B125" s="5"/>
      <c r="C125" s="5"/>
      <c r="D125" s="5"/>
      <c r="E125" s="5"/>
      <c r="F125" s="5"/>
      <c r="G125" s="5"/>
      <c r="H125" s="5"/>
      <c r="I125" s="5"/>
    </row>
    <row r="126" spans="1:9" x14ac:dyDescent="0.3">
      <c r="A126" s="5"/>
      <c r="B126" s="5"/>
      <c r="C126" s="5"/>
      <c r="D126" s="5"/>
      <c r="E126" s="5"/>
      <c r="F126" s="5"/>
      <c r="G126" s="5"/>
      <c r="H126" s="5"/>
      <c r="I126" s="5"/>
    </row>
    <row r="127" spans="1:9" x14ac:dyDescent="0.3">
      <c r="A127" s="5"/>
      <c r="B127" s="5"/>
      <c r="C127" s="5"/>
      <c r="D127" s="5"/>
      <c r="E127" s="5"/>
      <c r="F127" s="5"/>
      <c r="G127" s="5"/>
      <c r="H127" s="5"/>
      <c r="I127" s="5"/>
    </row>
    <row r="128" spans="1:9" x14ac:dyDescent="0.3">
      <c r="A128" s="5"/>
      <c r="B128" s="5"/>
      <c r="C128" s="5"/>
      <c r="D128" s="5"/>
      <c r="E128" s="5"/>
      <c r="F128" s="5"/>
      <c r="G128" s="5"/>
      <c r="H128" s="5"/>
      <c r="I128" s="5"/>
    </row>
    <row r="129" spans="1:9" x14ac:dyDescent="0.3">
      <c r="A129" s="5"/>
      <c r="B129" s="5"/>
      <c r="C129" s="5"/>
      <c r="D129" s="5"/>
      <c r="E129" s="5"/>
      <c r="F129" s="5"/>
      <c r="G129" s="5"/>
      <c r="H129" s="5"/>
      <c r="I129" s="5"/>
    </row>
    <row r="130" spans="1:9" x14ac:dyDescent="0.3">
      <c r="A130" s="5"/>
      <c r="B130" s="5"/>
      <c r="C130" s="5"/>
      <c r="D130" s="5"/>
      <c r="E130" s="5"/>
      <c r="F130" s="5"/>
      <c r="G130" s="5"/>
      <c r="H130" s="5"/>
      <c r="I130" s="5"/>
    </row>
    <row r="131" spans="1:9" x14ac:dyDescent="0.3">
      <c r="A131" s="5"/>
      <c r="B131" s="5"/>
      <c r="C131" s="5"/>
      <c r="D131" s="5"/>
      <c r="E131" s="5"/>
      <c r="F131" s="5"/>
      <c r="G131" s="5"/>
      <c r="H131" s="5"/>
      <c r="I131" s="5"/>
    </row>
    <row r="132" spans="1:9" x14ac:dyDescent="0.3">
      <c r="A132" s="5"/>
      <c r="B132" s="5"/>
      <c r="C132" s="5"/>
      <c r="D132" s="5"/>
      <c r="E132" s="5"/>
      <c r="F132" s="5"/>
      <c r="G132" s="5"/>
      <c r="H132" s="5"/>
      <c r="I132" s="5"/>
    </row>
    <row r="133" spans="1:9" x14ac:dyDescent="0.3">
      <c r="A133" s="5"/>
      <c r="B133" s="5"/>
      <c r="C133" s="5"/>
      <c r="D133" s="5"/>
      <c r="E133" s="5"/>
      <c r="F133" s="5"/>
      <c r="G133" s="5"/>
      <c r="H133" s="5"/>
      <c r="I133" s="5"/>
    </row>
    <row r="134" spans="1:9" x14ac:dyDescent="0.3">
      <c r="A134" s="5"/>
      <c r="B134" s="5"/>
      <c r="C134" s="5"/>
      <c r="D134" s="5"/>
      <c r="E134" s="5"/>
      <c r="F134" s="5"/>
      <c r="G134" s="5"/>
      <c r="H134" s="5"/>
      <c r="I134" s="5"/>
    </row>
    <row r="135" spans="1:9" x14ac:dyDescent="0.3">
      <c r="A135" s="5"/>
      <c r="B135" s="5"/>
      <c r="C135" s="5"/>
      <c r="D135" s="5"/>
      <c r="E135" s="5"/>
      <c r="F135" s="5"/>
      <c r="G135" s="5"/>
      <c r="H135" s="5"/>
      <c r="I135" s="5"/>
    </row>
    <row r="136" spans="1:9" x14ac:dyDescent="0.3">
      <c r="A136" s="5"/>
      <c r="B136" s="5"/>
      <c r="C136" s="5"/>
      <c r="D136" s="5"/>
      <c r="E136" s="5"/>
      <c r="F136" s="5"/>
      <c r="G136" s="5"/>
      <c r="H136" s="5"/>
      <c r="I136" s="5"/>
    </row>
    <row r="137" spans="1:9" x14ac:dyDescent="0.3">
      <c r="A137" s="5"/>
      <c r="B137" s="5"/>
      <c r="C137" s="5"/>
      <c r="D137" s="5"/>
      <c r="E137" s="5"/>
      <c r="F137" s="5"/>
      <c r="G137" s="5"/>
      <c r="H137" s="5"/>
      <c r="I137" s="5"/>
    </row>
    <row r="138" spans="1:9" x14ac:dyDescent="0.3">
      <c r="A138" s="5"/>
      <c r="B138" s="5"/>
      <c r="C138" s="5"/>
      <c r="D138" s="5"/>
      <c r="E138" s="5"/>
      <c r="F138" s="5"/>
      <c r="G138" s="5"/>
      <c r="H138" s="5"/>
      <c r="I138" s="5"/>
    </row>
    <row r="139" spans="1:9" x14ac:dyDescent="0.3">
      <c r="A139" s="5"/>
      <c r="B139" s="5"/>
      <c r="C139" s="5"/>
      <c r="D139" s="5"/>
      <c r="E139" s="5"/>
      <c r="F139" s="5"/>
      <c r="G139" s="5"/>
      <c r="H139" s="5"/>
      <c r="I139" s="5"/>
    </row>
    <row r="140" spans="1:9" x14ac:dyDescent="0.3">
      <c r="A140" s="5"/>
      <c r="B140" s="5"/>
      <c r="C140" s="5"/>
      <c r="D140" s="5"/>
      <c r="E140" s="5"/>
      <c r="F140" s="5"/>
      <c r="G140" s="5"/>
      <c r="H140" s="5"/>
      <c r="I140" s="5"/>
    </row>
    <row r="141" spans="1:9" x14ac:dyDescent="0.3">
      <c r="A141" s="5"/>
      <c r="B141" s="5"/>
      <c r="C141" s="5"/>
      <c r="D141" s="5"/>
      <c r="E141" s="5"/>
      <c r="F141" s="5"/>
      <c r="G141" s="5"/>
      <c r="H141" s="5"/>
      <c r="I141" s="5"/>
    </row>
    <row r="142" spans="1:9" x14ac:dyDescent="0.3">
      <c r="A142" s="5"/>
      <c r="B142" s="5"/>
      <c r="C142" s="5"/>
      <c r="D142" s="5"/>
      <c r="E142" s="5"/>
      <c r="F142" s="5"/>
      <c r="G142" s="5"/>
      <c r="H142" s="5"/>
      <c r="I142" s="5"/>
    </row>
    <row r="143" spans="1:9" x14ac:dyDescent="0.3">
      <c r="A143" s="5"/>
      <c r="B143" s="5"/>
      <c r="C143" s="5"/>
      <c r="D143" s="5"/>
      <c r="E143" s="5"/>
      <c r="F143" s="5"/>
      <c r="G143" s="5"/>
      <c r="H143" s="5"/>
      <c r="I143" s="5"/>
    </row>
    <row r="144" spans="1:9" x14ac:dyDescent="0.3">
      <c r="A144" s="5"/>
      <c r="B144" s="5"/>
      <c r="C144" s="5"/>
      <c r="D144" s="5"/>
      <c r="E144" s="5"/>
      <c r="F144" s="5"/>
      <c r="G144" s="5"/>
      <c r="H144" s="5"/>
      <c r="I144" s="5"/>
    </row>
    <row r="145" spans="1:9" x14ac:dyDescent="0.3">
      <c r="A145" s="5"/>
      <c r="B145" s="5"/>
      <c r="C145" s="5"/>
      <c r="D145" s="5"/>
      <c r="E145" s="5"/>
      <c r="F145" s="5"/>
      <c r="G145" s="5"/>
      <c r="H145" s="5"/>
      <c r="I145" s="5"/>
    </row>
    <row r="146" spans="1:9" x14ac:dyDescent="0.3">
      <c r="A146" s="5"/>
      <c r="B146" s="5"/>
      <c r="C146" s="5"/>
      <c r="D146" s="5"/>
      <c r="E146" s="5"/>
      <c r="F146" s="5"/>
      <c r="G146" s="5"/>
      <c r="H146" s="5"/>
      <c r="I146" s="5"/>
    </row>
    <row r="147" spans="1:9" x14ac:dyDescent="0.3">
      <c r="A147" s="5"/>
      <c r="B147" s="5"/>
      <c r="C147" s="5"/>
      <c r="D147" s="5"/>
      <c r="E147" s="5"/>
      <c r="F147" s="5"/>
      <c r="G147" s="5"/>
      <c r="H147" s="5"/>
      <c r="I147" s="5"/>
    </row>
    <row r="148" spans="1:9" x14ac:dyDescent="0.3">
      <c r="A148" s="5"/>
      <c r="B148" s="5"/>
      <c r="C148" s="5"/>
      <c r="D148" s="5"/>
      <c r="E148" s="5"/>
      <c r="F148" s="5"/>
      <c r="G148" s="5"/>
      <c r="H148" s="5"/>
      <c r="I148" s="5"/>
    </row>
    <row r="149" spans="1:9" x14ac:dyDescent="0.3">
      <c r="A149" s="5"/>
      <c r="B149" s="5"/>
      <c r="C149" s="5"/>
      <c r="D149" s="5"/>
      <c r="E149" s="5"/>
      <c r="F149" s="5"/>
      <c r="G149" s="5"/>
      <c r="H149" s="5"/>
      <c r="I149" s="5"/>
    </row>
    <row r="150" spans="1:9" x14ac:dyDescent="0.3">
      <c r="A150" s="5"/>
      <c r="B150" s="5"/>
      <c r="C150" s="5"/>
      <c r="D150" s="5"/>
      <c r="E150" s="5"/>
      <c r="F150" s="5"/>
      <c r="G150" s="5"/>
      <c r="H150" s="5"/>
      <c r="I150" s="5"/>
    </row>
    <row r="151" spans="1:9" x14ac:dyDescent="0.3">
      <c r="A151" s="5"/>
      <c r="B151" s="5"/>
      <c r="C151" s="5"/>
      <c r="D151" s="5"/>
      <c r="E151" s="5"/>
      <c r="F151" s="5"/>
      <c r="G151" s="5"/>
      <c r="H151" s="5"/>
      <c r="I151" s="5"/>
    </row>
    <row r="152" spans="1:9" x14ac:dyDescent="0.3">
      <c r="A152" s="5"/>
      <c r="B152" s="5"/>
      <c r="C152" s="5"/>
      <c r="D152" s="5"/>
      <c r="E152" s="5"/>
      <c r="F152" s="5"/>
      <c r="G152" s="5"/>
      <c r="H152" s="5"/>
      <c r="I152" s="5"/>
    </row>
    <row r="153" spans="1:9" x14ac:dyDescent="0.3">
      <c r="A153" s="5"/>
      <c r="B153" s="5"/>
      <c r="C153" s="5"/>
      <c r="D153" s="5"/>
      <c r="E153" s="5"/>
      <c r="F153" s="5"/>
      <c r="G153" s="5"/>
      <c r="H153" s="5"/>
      <c r="I153" s="5"/>
    </row>
    <row r="154" spans="1:9" x14ac:dyDescent="0.3">
      <c r="A154" s="5"/>
      <c r="B154" s="5"/>
      <c r="C154" s="5"/>
      <c r="D154" s="5"/>
      <c r="E154" s="5"/>
      <c r="F154" s="5"/>
      <c r="G154" s="5"/>
      <c r="H154" s="5"/>
      <c r="I154" s="5"/>
    </row>
    <row r="155" spans="1:9" x14ac:dyDescent="0.3">
      <c r="A155" s="5"/>
      <c r="B155" s="5"/>
      <c r="C155" s="5"/>
      <c r="D155" s="5"/>
      <c r="E155" s="5"/>
      <c r="F155" s="5"/>
      <c r="G155" s="5"/>
      <c r="H155" s="5"/>
      <c r="I155" s="5"/>
    </row>
    <row r="156" spans="1:9" x14ac:dyDescent="0.3">
      <c r="A156" s="5"/>
      <c r="B156" s="5"/>
      <c r="C156" s="5"/>
      <c r="D156" s="5"/>
      <c r="E156" s="5"/>
      <c r="F156" s="5"/>
      <c r="G156" s="5"/>
      <c r="H156" s="5"/>
      <c r="I156" s="5"/>
    </row>
    <row r="157" spans="1:9" x14ac:dyDescent="0.3">
      <c r="A157" s="5"/>
      <c r="B157" s="5"/>
      <c r="C157" s="5"/>
      <c r="D157" s="5"/>
      <c r="E157" s="5"/>
      <c r="F157" s="5"/>
      <c r="G157" s="5"/>
      <c r="H157" s="5"/>
      <c r="I157" s="5"/>
    </row>
    <row r="158" spans="1:9" x14ac:dyDescent="0.3">
      <c r="A158" s="5"/>
      <c r="B158" s="5"/>
      <c r="C158" s="5"/>
      <c r="D158" s="5"/>
      <c r="E158" s="5"/>
      <c r="F158" s="5"/>
      <c r="G158" s="5"/>
      <c r="H158" s="5"/>
      <c r="I158" s="5"/>
    </row>
    <row r="159" spans="1:9" x14ac:dyDescent="0.3">
      <c r="A159" s="5"/>
      <c r="B159" s="5"/>
      <c r="C159" s="5"/>
      <c r="D159" s="5"/>
      <c r="E159" s="5"/>
      <c r="F159" s="5"/>
      <c r="G159" s="5"/>
      <c r="H159" s="5"/>
      <c r="I159" s="5"/>
    </row>
    <row r="160" spans="1:9" x14ac:dyDescent="0.3">
      <c r="A160" s="5"/>
      <c r="B160" s="5"/>
      <c r="C160" s="5"/>
      <c r="D160" s="5"/>
      <c r="E160" s="5"/>
      <c r="F160" s="5"/>
      <c r="G160" s="5"/>
      <c r="H160" s="5"/>
      <c r="I160" s="5"/>
    </row>
    <row r="161" spans="1:9" x14ac:dyDescent="0.3">
      <c r="A161" s="5"/>
      <c r="B161" s="5"/>
      <c r="C161" s="5"/>
      <c r="D161" s="5"/>
      <c r="E161" s="5"/>
      <c r="F161" s="5"/>
      <c r="G161" s="5"/>
      <c r="H161" s="5"/>
      <c r="I161" s="5"/>
    </row>
    <row r="162" spans="1:9" x14ac:dyDescent="0.3">
      <c r="A162" s="5"/>
      <c r="B162" s="5"/>
      <c r="C162" s="5"/>
      <c r="D162" s="5"/>
      <c r="E162" s="5"/>
      <c r="F162" s="5"/>
      <c r="G162" s="5"/>
      <c r="H162" s="5"/>
      <c r="I162" s="5"/>
    </row>
    <row r="163" spans="1:9" x14ac:dyDescent="0.3">
      <c r="A163" s="5"/>
      <c r="B163" s="5"/>
      <c r="C163" s="5"/>
      <c r="D163" s="5"/>
      <c r="E163" s="5"/>
      <c r="F163" s="5"/>
      <c r="G163" s="5"/>
      <c r="H163" s="5"/>
      <c r="I163" s="5"/>
    </row>
    <row r="164" spans="1:9" x14ac:dyDescent="0.3">
      <c r="A164" s="5"/>
      <c r="B164" s="5"/>
      <c r="C164" s="5"/>
      <c r="D164" s="5"/>
      <c r="E164" s="5"/>
      <c r="F164" s="5"/>
      <c r="G164" s="5"/>
      <c r="H164" s="5"/>
      <c r="I164" s="5"/>
    </row>
    <row r="165" spans="1:9" x14ac:dyDescent="0.3">
      <c r="A165" s="5"/>
      <c r="B165" s="5"/>
      <c r="C165" s="5"/>
      <c r="D165" s="5"/>
      <c r="E165" s="5"/>
      <c r="F165" s="5"/>
      <c r="G165" s="5"/>
      <c r="H165" s="5"/>
      <c r="I165" s="5"/>
    </row>
    <row r="166" spans="1:9" x14ac:dyDescent="0.3">
      <c r="A166" s="5"/>
      <c r="B166" s="5"/>
      <c r="C166" s="5"/>
      <c r="D166" s="5"/>
      <c r="E166" s="5"/>
      <c r="F166" s="5"/>
      <c r="G166" s="5"/>
      <c r="H166" s="5"/>
      <c r="I166" s="5"/>
    </row>
    <row r="167" spans="1:9" x14ac:dyDescent="0.3">
      <c r="A167" s="5"/>
      <c r="B167" s="5"/>
      <c r="C167" s="5"/>
      <c r="D167" s="5"/>
      <c r="E167" s="5"/>
      <c r="F167" s="5"/>
      <c r="G167" s="5"/>
      <c r="H167" s="5"/>
      <c r="I167" s="5"/>
    </row>
    <row r="168" spans="1:9" x14ac:dyDescent="0.3">
      <c r="A168" s="5"/>
      <c r="B168" s="5"/>
      <c r="C168" s="5"/>
      <c r="D168" s="5"/>
      <c r="E168" s="5"/>
      <c r="F168" s="5"/>
      <c r="G168" s="5"/>
      <c r="H168" s="5"/>
      <c r="I168" s="5"/>
    </row>
    <row r="169" spans="1:9" x14ac:dyDescent="0.3">
      <c r="A169" s="5"/>
      <c r="B169" s="5"/>
      <c r="C169" s="5"/>
      <c r="D169" s="5"/>
      <c r="E169" s="5"/>
      <c r="F169" s="5"/>
      <c r="G169" s="5"/>
      <c r="H169" s="5"/>
      <c r="I169" s="5"/>
    </row>
    <row r="170" spans="1:9" x14ac:dyDescent="0.3">
      <c r="A170" s="5"/>
      <c r="B170" s="5"/>
      <c r="C170" s="5"/>
      <c r="D170" s="5"/>
      <c r="E170" s="5"/>
      <c r="F170" s="5"/>
      <c r="G170" s="5"/>
      <c r="H170" s="5"/>
      <c r="I170" s="5"/>
    </row>
    <row r="171" spans="1:9" x14ac:dyDescent="0.3">
      <c r="A171" s="5"/>
      <c r="B171" s="5"/>
      <c r="C171" s="5"/>
      <c r="D171" s="5"/>
      <c r="E171" s="5"/>
      <c r="F171" s="5"/>
      <c r="G171" s="5"/>
      <c r="H171" s="5"/>
      <c r="I171" s="5"/>
    </row>
    <row r="172" spans="1:9" x14ac:dyDescent="0.3">
      <c r="A172" s="5"/>
      <c r="B172" s="5"/>
      <c r="C172" s="5"/>
      <c r="D172" s="5"/>
      <c r="E172" s="5"/>
      <c r="F172" s="5"/>
      <c r="G172" s="5"/>
      <c r="H172" s="5"/>
      <c r="I172" s="5"/>
    </row>
    <row r="173" spans="1:9" x14ac:dyDescent="0.3">
      <c r="A173" s="5"/>
      <c r="B173" s="5"/>
      <c r="C173" s="5"/>
      <c r="D173" s="5"/>
      <c r="E173" s="5"/>
      <c r="F173" s="5"/>
      <c r="G173" s="5"/>
      <c r="H173" s="5"/>
      <c r="I173" s="5"/>
    </row>
    <row r="174" spans="1:9" x14ac:dyDescent="0.3">
      <c r="A174" s="5"/>
      <c r="B174" s="5"/>
      <c r="C174" s="5"/>
      <c r="D174" s="5"/>
      <c r="E174" s="5"/>
      <c r="F174" s="5"/>
      <c r="G174" s="5"/>
      <c r="H174" s="5"/>
      <c r="I174" s="5"/>
    </row>
    <row r="175" spans="1:9" x14ac:dyDescent="0.3">
      <c r="A175" s="5"/>
      <c r="B175" s="5"/>
      <c r="C175" s="5"/>
      <c r="D175" s="5"/>
      <c r="E175" s="5"/>
      <c r="F175" s="5"/>
      <c r="G175" s="5"/>
      <c r="H175" s="5"/>
      <c r="I175" s="5"/>
    </row>
    <row r="176" spans="1:9" x14ac:dyDescent="0.3">
      <c r="A176" s="5"/>
      <c r="B176" s="5"/>
      <c r="C176" s="5"/>
      <c r="D176" s="5"/>
      <c r="E176" s="5"/>
      <c r="F176" s="5"/>
      <c r="G176" s="5"/>
      <c r="H176" s="5"/>
      <c r="I176" s="5"/>
    </row>
    <row r="177" spans="1:9" x14ac:dyDescent="0.3">
      <c r="A177" s="5"/>
      <c r="B177" s="5"/>
      <c r="C177" s="5"/>
      <c r="D177" s="5"/>
      <c r="E177" s="5"/>
      <c r="F177" s="5"/>
      <c r="G177" s="5"/>
      <c r="H177" s="5"/>
      <c r="I177" s="5"/>
    </row>
  </sheetData>
  <sheetProtection sheet="1" objects="1" scenarios="1"/>
  <protectedRanges>
    <protectedRange sqref="F14:F18" name="Intervalo2"/>
    <protectedRange sqref="F4:F8" name="Intervalo1"/>
  </protectedRanges>
  <mergeCells count="7">
    <mergeCell ref="C14:C18"/>
    <mergeCell ref="B19:E19"/>
    <mergeCell ref="C4:C8"/>
    <mergeCell ref="B9:E9"/>
    <mergeCell ref="A1:I1"/>
    <mergeCell ref="A2:I2"/>
    <mergeCell ref="A12:I12"/>
  </mergeCells>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33619A-0A79-4DBD-9D65-490BAEC18D46}">
  <dimension ref="A1:I31"/>
  <sheetViews>
    <sheetView zoomScale="90" zoomScaleNormal="90" workbookViewId="0">
      <selection activeCell="D11" sqref="D11"/>
    </sheetView>
  </sheetViews>
  <sheetFormatPr defaultRowHeight="14.4" x14ac:dyDescent="0.3"/>
  <cols>
    <col min="2" max="2" width="45.5546875" customWidth="1"/>
    <col min="3" max="3" width="24.109375" customWidth="1"/>
    <col min="4" max="7" width="18.109375" customWidth="1"/>
    <col min="8" max="8" width="18.33203125" customWidth="1"/>
    <col min="9" max="9" width="27.5546875" customWidth="1"/>
  </cols>
  <sheetData>
    <row r="1" spans="1:9" s="3" customFormat="1" ht="20.100000000000001" customHeight="1" thickTop="1" thickBot="1" x14ac:dyDescent="0.35">
      <c r="A1" s="144" t="s">
        <v>41</v>
      </c>
      <c r="B1" s="145"/>
      <c r="C1" s="145"/>
      <c r="D1" s="145"/>
      <c r="E1" s="145"/>
      <c r="F1" s="145"/>
      <c r="G1" s="145"/>
      <c r="H1" s="145"/>
      <c r="I1" s="146"/>
    </row>
    <row r="2" spans="1:9" s="3" customFormat="1" ht="30" customHeight="1" thickTop="1" thickBot="1" x14ac:dyDescent="0.35">
      <c r="A2" s="68" t="s">
        <v>1</v>
      </c>
      <c r="B2" s="69" t="s">
        <v>42</v>
      </c>
      <c r="C2" s="69" t="s">
        <v>43</v>
      </c>
      <c r="D2" s="41" t="s">
        <v>44</v>
      </c>
      <c r="E2" s="41" t="s">
        <v>45</v>
      </c>
      <c r="F2" s="41" t="s">
        <v>46</v>
      </c>
      <c r="G2" s="41" t="s">
        <v>47</v>
      </c>
      <c r="H2" s="69" t="s">
        <v>48</v>
      </c>
      <c r="I2" s="69" t="s">
        <v>49</v>
      </c>
    </row>
    <row r="3" spans="1:9" s="3" customFormat="1" ht="20.100000000000001" customHeight="1" x14ac:dyDescent="0.3">
      <c r="A3" s="20">
        <v>1</v>
      </c>
      <c r="B3" s="70" t="s">
        <v>50</v>
      </c>
      <c r="C3" s="71" t="s">
        <v>51</v>
      </c>
      <c r="D3" s="99">
        <v>2.89</v>
      </c>
      <c r="E3" s="72">
        <f>TRUNC((D3*'Salários.VA.VT.QteDias.LDI.T'!$D$48),2)</f>
        <v>0.28999999999999998</v>
      </c>
      <c r="F3" s="72">
        <f>TRUNC((((D3+E3)/(1-'Salários.VA.VT.QteDias.LDI.T'!$D$56))*'Salários.VA.VT.QteDias.LDI.T'!$D$56),2)</f>
        <v>0.3</v>
      </c>
      <c r="G3" s="72">
        <f t="shared" ref="G3:G20" si="0">TRUNC((D3+E3+F3),2)</f>
        <v>3.48</v>
      </c>
      <c r="H3" s="71">
        <v>6</v>
      </c>
      <c r="I3" s="72">
        <f t="shared" ref="I3:I20" si="1">TRUNC((G3*H3),2)</f>
        <v>20.88</v>
      </c>
    </row>
    <row r="4" spans="1:9" s="3" customFormat="1" ht="20.100000000000001" customHeight="1" x14ac:dyDescent="0.3">
      <c r="A4" s="20">
        <v>2</v>
      </c>
      <c r="B4" s="70" t="s">
        <v>52</v>
      </c>
      <c r="C4" s="71" t="s">
        <v>51</v>
      </c>
      <c r="D4" s="99">
        <v>10.82</v>
      </c>
      <c r="E4" s="72">
        <f>TRUNC((D4*'Salários.VA.VT.QteDias.LDI.T'!$D$48),2)</f>
        <v>1.1100000000000001</v>
      </c>
      <c r="F4" s="72">
        <f>TRUNC((((D4+E4)/(1-'Salários.VA.VT.QteDias.LDI.T'!$D$56))*'Salários.VA.VT.QteDias.LDI.T'!$D$56),2)</f>
        <v>1.1200000000000001</v>
      </c>
      <c r="G4" s="72">
        <f t="shared" si="0"/>
        <v>13.05</v>
      </c>
      <c r="H4" s="71">
        <v>2</v>
      </c>
      <c r="I4" s="72">
        <f t="shared" si="1"/>
        <v>26.1</v>
      </c>
    </row>
    <row r="5" spans="1:9" s="3" customFormat="1" ht="20.100000000000001" customHeight="1" x14ac:dyDescent="0.3">
      <c r="A5" s="20">
        <v>3</v>
      </c>
      <c r="B5" s="70" t="s">
        <v>53</v>
      </c>
      <c r="C5" s="71" t="s">
        <v>54</v>
      </c>
      <c r="D5" s="99">
        <v>17.16</v>
      </c>
      <c r="E5" s="72">
        <f>TRUNC((D5*'Salários.VA.VT.QteDias.LDI.T'!$D$48),2)</f>
        <v>1.76</v>
      </c>
      <c r="F5" s="72">
        <f>TRUNC((((D5+E5)/(1-'Salários.VA.VT.QteDias.LDI.T'!$D$56))*'Salários.VA.VT.QteDias.LDI.T'!$D$56),2)</f>
        <v>1.79</v>
      </c>
      <c r="G5" s="72">
        <f t="shared" si="0"/>
        <v>20.71</v>
      </c>
      <c r="H5" s="71">
        <v>6</v>
      </c>
      <c r="I5" s="72">
        <f t="shared" si="1"/>
        <v>124.26</v>
      </c>
    </row>
    <row r="6" spans="1:9" s="3" customFormat="1" ht="20.100000000000001" customHeight="1" x14ac:dyDescent="0.3">
      <c r="A6" s="20">
        <v>4</v>
      </c>
      <c r="B6" s="70" t="s">
        <v>55</v>
      </c>
      <c r="C6" s="71" t="s">
        <v>56</v>
      </c>
      <c r="D6" s="99">
        <v>66.33</v>
      </c>
      <c r="E6" s="72">
        <f>TRUNC((D6*'Salários.VA.VT.QteDias.LDI.T'!$D$48),2)</f>
        <v>6.83</v>
      </c>
      <c r="F6" s="72">
        <f>TRUNC((((D6+E6)/(1-'Salários.VA.VT.QteDias.LDI.T'!$D$56))*'Salários.VA.VT.QteDias.LDI.T'!$D$56),2)</f>
        <v>6.92</v>
      </c>
      <c r="G6" s="72">
        <f t="shared" si="0"/>
        <v>80.08</v>
      </c>
      <c r="H6" s="71">
        <v>6</v>
      </c>
      <c r="I6" s="72">
        <f t="shared" si="1"/>
        <v>480.48</v>
      </c>
    </row>
    <row r="7" spans="1:9" s="3" customFormat="1" ht="20.100000000000001" customHeight="1" x14ac:dyDescent="0.3">
      <c r="A7" s="20">
        <v>5</v>
      </c>
      <c r="B7" s="70" t="s">
        <v>57</v>
      </c>
      <c r="C7" s="71" t="s">
        <v>58</v>
      </c>
      <c r="D7" s="99">
        <v>3.62</v>
      </c>
      <c r="E7" s="72">
        <f>TRUNC((D7*'Salários.VA.VT.QteDias.LDI.T'!$D$48),2)</f>
        <v>0.37</v>
      </c>
      <c r="F7" s="72">
        <f>TRUNC((((D7+E7)/(1-'Salários.VA.VT.QteDias.LDI.T'!$D$56))*'Salários.VA.VT.QteDias.LDI.T'!$D$56),2)</f>
        <v>0.37</v>
      </c>
      <c r="G7" s="72">
        <f t="shared" si="0"/>
        <v>4.3600000000000003</v>
      </c>
      <c r="H7" s="71">
        <v>2</v>
      </c>
      <c r="I7" s="72">
        <f t="shared" si="1"/>
        <v>8.7200000000000006</v>
      </c>
    </row>
    <row r="8" spans="1:9" s="3" customFormat="1" ht="20.100000000000001" customHeight="1" x14ac:dyDescent="0.3">
      <c r="A8" s="20">
        <v>6</v>
      </c>
      <c r="B8" s="70" t="s">
        <v>59</v>
      </c>
      <c r="C8" s="71" t="s">
        <v>60</v>
      </c>
      <c r="D8" s="99">
        <v>2.9</v>
      </c>
      <c r="E8" s="72">
        <f>TRUNC((D8*'Salários.VA.VT.QteDias.LDI.T'!$D$48),2)</f>
        <v>0.28999999999999998</v>
      </c>
      <c r="F8" s="72">
        <f>TRUNC((((D8+E8)/(1-'Salários.VA.VT.QteDias.LDI.T'!$D$56))*'Salários.VA.VT.QteDias.LDI.T'!$D$56),2)</f>
        <v>0.3</v>
      </c>
      <c r="G8" s="72">
        <f t="shared" si="0"/>
        <v>3.49</v>
      </c>
      <c r="H8" s="71">
        <v>12</v>
      </c>
      <c r="I8" s="72">
        <f t="shared" si="1"/>
        <v>41.88</v>
      </c>
    </row>
    <row r="9" spans="1:9" s="3" customFormat="1" ht="20.100000000000001" customHeight="1" x14ac:dyDescent="0.3">
      <c r="A9" s="20">
        <v>7</v>
      </c>
      <c r="B9" s="70" t="s">
        <v>61</v>
      </c>
      <c r="C9" s="71" t="s">
        <v>62</v>
      </c>
      <c r="D9" s="99">
        <v>39.61</v>
      </c>
      <c r="E9" s="72">
        <f>TRUNC((D9*'Salários.VA.VT.QteDias.LDI.T'!$D$48),2)</f>
        <v>4.07</v>
      </c>
      <c r="F9" s="72">
        <f>TRUNC((((D9+E9)/(1-'Salários.VA.VT.QteDias.LDI.T'!$D$56))*'Salários.VA.VT.QteDias.LDI.T'!$D$56),2)</f>
        <v>4.13</v>
      </c>
      <c r="G9" s="72">
        <f t="shared" si="0"/>
        <v>47.81</v>
      </c>
      <c r="H9" s="71">
        <v>1</v>
      </c>
      <c r="I9" s="72">
        <f t="shared" si="1"/>
        <v>47.81</v>
      </c>
    </row>
    <row r="10" spans="1:9" s="3" customFormat="1" ht="20.100000000000001" customHeight="1" x14ac:dyDescent="0.3">
      <c r="A10" s="20">
        <v>8</v>
      </c>
      <c r="B10" s="70" t="s">
        <v>63</v>
      </c>
      <c r="C10" s="71" t="s">
        <v>64</v>
      </c>
      <c r="D10" s="99">
        <v>44.93</v>
      </c>
      <c r="E10" s="72">
        <f>TRUNC((D10*'Salários.VA.VT.QteDias.LDI.T'!$D$48),2)</f>
        <v>4.62</v>
      </c>
      <c r="F10" s="72">
        <f>TRUNC((((D10+E10)/(1-'Salários.VA.VT.QteDias.LDI.T'!$D$56))*'Salários.VA.VT.QteDias.LDI.T'!$D$56),2)</f>
        <v>4.6900000000000004</v>
      </c>
      <c r="G10" s="72">
        <f t="shared" si="0"/>
        <v>54.24</v>
      </c>
      <c r="H10" s="71">
        <v>3</v>
      </c>
      <c r="I10" s="72">
        <f t="shared" si="1"/>
        <v>162.72</v>
      </c>
    </row>
    <row r="11" spans="1:9" s="3" customFormat="1" ht="20.100000000000001" customHeight="1" x14ac:dyDescent="0.3">
      <c r="A11" s="20">
        <v>9</v>
      </c>
      <c r="B11" s="70" t="s">
        <v>65</v>
      </c>
      <c r="C11" s="71" t="s">
        <v>58</v>
      </c>
      <c r="D11" s="99">
        <v>24.46</v>
      </c>
      <c r="E11" s="72">
        <f>TRUNC((D11*'Salários.VA.VT.QteDias.LDI.T'!$D$48),2)</f>
        <v>2.5099999999999998</v>
      </c>
      <c r="F11" s="72">
        <f>TRUNC((((D11+E11)/(1-'Salários.VA.VT.QteDias.LDI.T'!$D$56))*'Salários.VA.VT.QteDias.LDI.T'!$D$56),2)</f>
        <v>2.5499999999999998</v>
      </c>
      <c r="G11" s="72">
        <f t="shared" si="0"/>
        <v>29.52</v>
      </c>
      <c r="H11" s="71">
        <v>3</v>
      </c>
      <c r="I11" s="72">
        <f t="shared" si="1"/>
        <v>88.56</v>
      </c>
    </row>
    <row r="12" spans="1:9" s="3" customFormat="1" ht="20.100000000000001" customHeight="1" x14ac:dyDescent="0.3">
      <c r="A12" s="20">
        <v>10</v>
      </c>
      <c r="B12" s="70" t="s">
        <v>66</v>
      </c>
      <c r="C12" s="71" t="s">
        <v>67</v>
      </c>
      <c r="D12" s="99">
        <v>46.28</v>
      </c>
      <c r="E12" s="72">
        <f>TRUNC((D12*'Salários.VA.VT.QteDias.LDI.T'!$D$48),2)</f>
        <v>4.76</v>
      </c>
      <c r="F12" s="72">
        <f>TRUNC((((D12+E12)/(1-'Salários.VA.VT.QteDias.LDI.T'!$D$56))*'Salários.VA.VT.QteDias.LDI.T'!$D$56),2)</f>
        <v>4.83</v>
      </c>
      <c r="G12" s="72">
        <f t="shared" si="0"/>
        <v>55.87</v>
      </c>
      <c r="H12" s="71">
        <v>1</v>
      </c>
      <c r="I12" s="72">
        <f t="shared" si="1"/>
        <v>55.87</v>
      </c>
    </row>
    <row r="13" spans="1:9" s="3" customFormat="1" ht="20.100000000000001" customHeight="1" x14ac:dyDescent="0.3">
      <c r="A13" s="20">
        <v>11</v>
      </c>
      <c r="B13" s="73" t="s">
        <v>68</v>
      </c>
      <c r="C13" s="71" t="s">
        <v>60</v>
      </c>
      <c r="D13" s="99">
        <v>4.83</v>
      </c>
      <c r="E13" s="72">
        <f>TRUNC((D13*'Salários.VA.VT.QteDias.LDI.T'!$D$48),2)</f>
        <v>0.49</v>
      </c>
      <c r="F13" s="72">
        <f>TRUNC((((D13+E13)/(1-'Salários.VA.VT.QteDias.LDI.T'!$D$56))*'Salários.VA.VT.QteDias.LDI.T'!$D$56),2)</f>
        <v>0.5</v>
      </c>
      <c r="G13" s="72">
        <f t="shared" si="0"/>
        <v>5.82</v>
      </c>
      <c r="H13" s="71">
        <v>24</v>
      </c>
      <c r="I13" s="72">
        <f t="shared" si="1"/>
        <v>139.68</v>
      </c>
    </row>
    <row r="14" spans="1:9" s="3" customFormat="1" ht="20.100000000000001" customHeight="1" x14ac:dyDescent="0.3">
      <c r="A14" s="20">
        <v>12</v>
      </c>
      <c r="B14" s="70" t="s">
        <v>69</v>
      </c>
      <c r="C14" s="71" t="s">
        <v>70</v>
      </c>
      <c r="D14" s="99">
        <v>6.19</v>
      </c>
      <c r="E14" s="72">
        <f>TRUNC((D14*'Salários.VA.VT.QteDias.LDI.T'!$D$48),2)</f>
        <v>0.63</v>
      </c>
      <c r="F14" s="72">
        <f>TRUNC((((D14+E14)/(1-'Salários.VA.VT.QteDias.LDI.T'!$D$56))*'Salários.VA.VT.QteDias.LDI.T'!$D$56),2)</f>
        <v>0.64</v>
      </c>
      <c r="G14" s="72">
        <f t="shared" si="0"/>
        <v>7.46</v>
      </c>
      <c r="H14" s="71">
        <v>3</v>
      </c>
      <c r="I14" s="72">
        <f t="shared" si="1"/>
        <v>22.38</v>
      </c>
    </row>
    <row r="15" spans="1:9" s="3" customFormat="1" ht="20.100000000000001" customHeight="1" x14ac:dyDescent="0.3">
      <c r="A15" s="20">
        <v>13</v>
      </c>
      <c r="B15" s="70" t="s">
        <v>71</v>
      </c>
      <c r="C15" s="71" t="s">
        <v>72</v>
      </c>
      <c r="D15" s="99">
        <v>16.09</v>
      </c>
      <c r="E15" s="72">
        <f>TRUNC((D15*'Salários.VA.VT.QteDias.LDI.T'!$D$48),2)</f>
        <v>1.65</v>
      </c>
      <c r="F15" s="72">
        <f>TRUNC((((D15+E15)/(1-'Salários.VA.VT.QteDias.LDI.T'!$D$56))*'Salários.VA.VT.QteDias.LDI.T'!$D$56),2)</f>
        <v>1.67</v>
      </c>
      <c r="G15" s="72">
        <f t="shared" si="0"/>
        <v>19.41</v>
      </c>
      <c r="H15" s="71">
        <v>6</v>
      </c>
      <c r="I15" s="72">
        <f t="shared" si="1"/>
        <v>116.46</v>
      </c>
    </row>
    <row r="16" spans="1:9" s="3" customFormat="1" ht="20.100000000000001" customHeight="1" x14ac:dyDescent="0.3">
      <c r="A16" s="20">
        <v>14</v>
      </c>
      <c r="B16" s="70" t="s">
        <v>73</v>
      </c>
      <c r="C16" s="71" t="s">
        <v>58</v>
      </c>
      <c r="D16" s="99">
        <v>29.05</v>
      </c>
      <c r="E16" s="72">
        <f>TRUNC((D16*'Salários.VA.VT.QteDias.LDI.T'!$D$48),2)</f>
        <v>2.99</v>
      </c>
      <c r="F16" s="72">
        <f>TRUNC((((D16+E16)/(1-'Salários.VA.VT.QteDias.LDI.T'!$D$56))*'Salários.VA.VT.QteDias.LDI.T'!$D$56),2)</f>
        <v>3.03</v>
      </c>
      <c r="G16" s="72">
        <f t="shared" si="0"/>
        <v>35.07</v>
      </c>
      <c r="H16" s="71">
        <v>1</v>
      </c>
      <c r="I16" s="72">
        <f t="shared" si="1"/>
        <v>35.07</v>
      </c>
    </row>
    <row r="17" spans="1:9" s="3" customFormat="1" ht="20.100000000000001" customHeight="1" x14ac:dyDescent="0.3">
      <c r="A17" s="20">
        <v>15</v>
      </c>
      <c r="B17" s="70" t="s">
        <v>74</v>
      </c>
      <c r="C17" s="71" t="s">
        <v>75</v>
      </c>
      <c r="D17" s="99">
        <v>5.48</v>
      </c>
      <c r="E17" s="72">
        <f>TRUNC((D17*'Salários.VA.VT.QteDias.LDI.T'!$D$48),2)</f>
        <v>0.56000000000000005</v>
      </c>
      <c r="F17" s="72">
        <f>TRUNC((((D17+E17)/(1-'Salários.VA.VT.QteDias.LDI.T'!$D$56))*'Salários.VA.VT.QteDias.LDI.T'!$D$56),2)</f>
        <v>0.56999999999999995</v>
      </c>
      <c r="G17" s="72">
        <f t="shared" si="0"/>
        <v>6.61</v>
      </c>
      <c r="H17" s="71">
        <v>6</v>
      </c>
      <c r="I17" s="72">
        <f t="shared" si="1"/>
        <v>39.659999999999997</v>
      </c>
    </row>
    <row r="18" spans="1:9" s="3" customFormat="1" ht="20.100000000000001" customHeight="1" x14ac:dyDescent="0.3">
      <c r="A18" s="20">
        <v>16</v>
      </c>
      <c r="B18" s="70" t="s">
        <v>76</v>
      </c>
      <c r="C18" s="71" t="s">
        <v>77</v>
      </c>
      <c r="D18" s="99">
        <v>3.47</v>
      </c>
      <c r="E18" s="72">
        <f>TRUNC((D18*'Salários.VA.VT.QteDias.LDI.T'!$D$48),2)</f>
        <v>0.35</v>
      </c>
      <c r="F18" s="72">
        <f>TRUNC((((D18+E18)/(1-'Salários.VA.VT.QteDias.LDI.T'!$D$56))*'Salários.VA.VT.QteDias.LDI.T'!$D$56),2)</f>
        <v>0.36</v>
      </c>
      <c r="G18" s="72">
        <f t="shared" si="0"/>
        <v>4.18</v>
      </c>
      <c r="H18" s="71">
        <v>9</v>
      </c>
      <c r="I18" s="72">
        <f t="shared" si="1"/>
        <v>37.619999999999997</v>
      </c>
    </row>
    <row r="19" spans="1:9" s="3" customFormat="1" ht="20.100000000000001" customHeight="1" x14ac:dyDescent="0.3">
      <c r="A19" s="20">
        <v>17</v>
      </c>
      <c r="B19" s="70" t="s">
        <v>78</v>
      </c>
      <c r="C19" s="71" t="s">
        <v>79</v>
      </c>
      <c r="D19" s="99">
        <v>2.94</v>
      </c>
      <c r="E19" s="72">
        <f>TRUNC((D19*'Salários.VA.VT.QteDias.LDI.T'!$D$48),2)</f>
        <v>0.3</v>
      </c>
      <c r="F19" s="72">
        <f>TRUNC((((D19+E19)/(1-'Salários.VA.VT.QteDias.LDI.T'!$D$56))*'Salários.VA.VT.QteDias.LDI.T'!$D$56),2)</f>
        <v>0.3</v>
      </c>
      <c r="G19" s="72">
        <f t="shared" si="0"/>
        <v>3.54</v>
      </c>
      <c r="H19" s="71">
        <v>2</v>
      </c>
      <c r="I19" s="72">
        <f t="shared" si="1"/>
        <v>7.08</v>
      </c>
    </row>
    <row r="20" spans="1:9" s="3" customFormat="1" ht="20.100000000000001" customHeight="1" x14ac:dyDescent="0.3">
      <c r="A20" s="20">
        <v>18</v>
      </c>
      <c r="B20" s="70" t="s">
        <v>80</v>
      </c>
      <c r="C20" s="71" t="s">
        <v>60</v>
      </c>
      <c r="D20" s="99">
        <v>10.09</v>
      </c>
      <c r="E20" s="72">
        <f>TRUNC((D20*'Salários.VA.VT.QteDias.LDI.T'!$D$48),2)</f>
        <v>1.03</v>
      </c>
      <c r="F20" s="72">
        <f>TRUNC((((D20+E20)/(1-'Salários.VA.VT.QteDias.LDI.T'!$D$56))*'Salários.VA.VT.QteDias.LDI.T'!$D$56),2)</f>
        <v>1.05</v>
      </c>
      <c r="G20" s="72">
        <f t="shared" si="0"/>
        <v>12.17</v>
      </c>
      <c r="H20" s="71">
        <v>2</v>
      </c>
      <c r="I20" s="72">
        <f t="shared" si="1"/>
        <v>24.34</v>
      </c>
    </row>
    <row r="21" spans="1:9" s="3" customFormat="1" ht="20.100000000000001" customHeight="1" thickTop="1" thickBot="1" x14ac:dyDescent="0.35">
      <c r="A21" s="20">
        <v>19</v>
      </c>
      <c r="B21" s="74"/>
      <c r="C21" s="71"/>
      <c r="D21" s="72"/>
      <c r="E21" s="72"/>
      <c r="F21" s="72"/>
      <c r="G21" s="72"/>
      <c r="H21" s="71"/>
      <c r="I21" s="72"/>
    </row>
    <row r="22" spans="1:9" s="3" customFormat="1" ht="20.100000000000001" customHeight="1" thickTop="1" thickBot="1" x14ac:dyDescent="0.35">
      <c r="A22" s="20">
        <v>20</v>
      </c>
      <c r="B22" s="74"/>
      <c r="C22" s="71"/>
      <c r="D22" s="72">
        <f>SUM(D3:D20)</f>
        <v>337.14</v>
      </c>
      <c r="E22" s="72">
        <f t="shared" ref="E22:G22" si="2">SUM(E3:E20)</f>
        <v>34.61</v>
      </c>
      <c r="F22" s="72">
        <f t="shared" si="2"/>
        <v>35.119999999999997</v>
      </c>
      <c r="G22" s="72">
        <f t="shared" si="2"/>
        <v>406.87000000000006</v>
      </c>
      <c r="H22" s="71"/>
      <c r="I22" s="60">
        <f>SUM(I3:I20)</f>
        <v>1479.57</v>
      </c>
    </row>
    <row r="23" spans="1:9" ht="15" thickTop="1" x14ac:dyDescent="0.3">
      <c r="A23" s="5"/>
      <c r="B23" s="5"/>
      <c r="C23" s="5"/>
      <c r="D23" s="5"/>
      <c r="E23" s="5"/>
      <c r="F23" s="5"/>
      <c r="G23" s="5"/>
      <c r="H23" s="5"/>
      <c r="I23" s="5"/>
    </row>
    <row r="24" spans="1:9" x14ac:dyDescent="0.3">
      <c r="A24" s="5"/>
      <c r="B24" s="5"/>
      <c r="C24" s="5"/>
      <c r="D24" s="5"/>
      <c r="E24" s="5"/>
      <c r="F24" s="5"/>
      <c r="G24" s="5"/>
      <c r="H24" s="5"/>
      <c r="I24" s="5"/>
    </row>
    <row r="25" spans="1:9" x14ac:dyDescent="0.3">
      <c r="A25" s="5"/>
      <c r="B25" s="5"/>
      <c r="C25" s="5"/>
      <c r="D25" s="5"/>
      <c r="E25" s="5"/>
      <c r="F25" s="5"/>
      <c r="G25" s="5"/>
      <c r="H25" s="5"/>
      <c r="I25" s="5"/>
    </row>
    <row r="26" spans="1:9" x14ac:dyDescent="0.3">
      <c r="A26" s="5"/>
      <c r="B26" s="5"/>
      <c r="C26" s="5"/>
      <c r="D26" s="5"/>
      <c r="E26" s="5"/>
      <c r="F26" s="5"/>
      <c r="G26" s="5"/>
      <c r="H26" s="5"/>
      <c r="I26" s="5"/>
    </row>
    <row r="27" spans="1:9" x14ac:dyDescent="0.3">
      <c r="A27" s="5"/>
      <c r="B27" s="5"/>
      <c r="C27" s="5"/>
      <c r="D27" s="5"/>
      <c r="E27" s="5"/>
      <c r="F27" s="5"/>
      <c r="G27" s="5"/>
      <c r="H27" s="5"/>
      <c r="I27" s="5"/>
    </row>
    <row r="28" spans="1:9" x14ac:dyDescent="0.3">
      <c r="A28" s="5"/>
      <c r="B28" s="5"/>
      <c r="C28" s="5"/>
      <c r="D28" s="5"/>
      <c r="E28" s="5"/>
      <c r="F28" s="5"/>
      <c r="G28" s="5"/>
      <c r="H28" s="5"/>
      <c r="I28" s="5"/>
    </row>
    <row r="29" spans="1:9" x14ac:dyDescent="0.3">
      <c r="A29" s="5"/>
      <c r="B29" s="5"/>
      <c r="C29" s="5"/>
      <c r="D29" s="5"/>
      <c r="E29" s="5"/>
      <c r="F29" s="5"/>
      <c r="G29" s="5"/>
      <c r="H29" s="5"/>
      <c r="I29" s="5"/>
    </row>
    <row r="30" spans="1:9" x14ac:dyDescent="0.3">
      <c r="A30" s="5"/>
      <c r="B30" s="5"/>
      <c r="C30" s="5"/>
      <c r="D30" s="5"/>
      <c r="E30" s="5"/>
      <c r="F30" s="5"/>
      <c r="G30" s="5"/>
      <c r="H30" s="5"/>
      <c r="I30" s="5"/>
    </row>
    <row r="31" spans="1:9" x14ac:dyDescent="0.3">
      <c r="A31" s="5"/>
      <c r="B31" s="5"/>
      <c r="C31" s="5"/>
      <c r="D31" s="5"/>
      <c r="E31" s="5"/>
      <c r="F31" s="5"/>
      <c r="G31" s="5"/>
      <c r="H31" s="5"/>
      <c r="I31" s="5"/>
    </row>
  </sheetData>
  <sheetProtection sheet="1" objects="1" scenarios="1"/>
  <protectedRanges>
    <protectedRange sqref="D3:D20" name="Intervalo1"/>
  </protectedRanges>
  <mergeCells count="1">
    <mergeCell ref="A1:I1"/>
  </mergeCells>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1B0F04-5865-4E98-9FC1-DB54821461FC}">
  <dimension ref="A1:F24"/>
  <sheetViews>
    <sheetView zoomScaleNormal="100" workbookViewId="0">
      <selection activeCell="D7" sqref="D7"/>
    </sheetView>
  </sheetViews>
  <sheetFormatPr defaultRowHeight="14.4" x14ac:dyDescent="0.3"/>
  <cols>
    <col min="2" max="2" width="45.88671875" customWidth="1"/>
    <col min="3" max="3" width="29.88671875" customWidth="1"/>
    <col min="4" max="4" width="18.109375" customWidth="1"/>
    <col min="5" max="5" width="18.44140625" customWidth="1"/>
    <col min="6" max="6" width="18.5546875" customWidth="1"/>
  </cols>
  <sheetData>
    <row r="1" spans="1:6" s="3" customFormat="1" ht="20.100000000000001" customHeight="1" thickTop="1" thickBot="1" x14ac:dyDescent="0.35">
      <c r="A1" s="166" t="s">
        <v>87</v>
      </c>
      <c r="B1" s="167"/>
      <c r="C1" s="167"/>
      <c r="D1" s="167"/>
      <c r="E1" s="167"/>
      <c r="F1" s="168"/>
    </row>
    <row r="2" spans="1:6" s="3" customFormat="1" ht="20.100000000000001" customHeight="1" thickTop="1" thickBot="1" x14ac:dyDescent="0.35">
      <c r="A2" s="41" t="s">
        <v>1</v>
      </c>
      <c r="B2" s="41" t="s">
        <v>88</v>
      </c>
      <c r="C2" s="41" t="s">
        <v>43</v>
      </c>
      <c r="D2" s="41" t="s">
        <v>89</v>
      </c>
      <c r="E2" s="41" t="s">
        <v>48</v>
      </c>
      <c r="F2" s="41" t="s">
        <v>90</v>
      </c>
    </row>
    <row r="3" spans="1:6" s="3" customFormat="1" ht="20.100000000000001" customHeight="1" thickTop="1" thickBot="1" x14ac:dyDescent="0.35">
      <c r="A3" s="71">
        <f>ROW()-2</f>
        <v>1</v>
      </c>
      <c r="B3" s="64" t="s">
        <v>91</v>
      </c>
      <c r="C3" s="71" t="s">
        <v>92</v>
      </c>
      <c r="D3" s="100">
        <v>16.149999999999999</v>
      </c>
      <c r="E3" s="71">
        <v>2</v>
      </c>
      <c r="F3" s="72">
        <f>D3*E3</f>
        <v>32.299999999999997</v>
      </c>
    </row>
    <row r="4" spans="1:6" s="3" customFormat="1" ht="20.100000000000001" customHeight="1" thickTop="1" thickBot="1" x14ac:dyDescent="0.35">
      <c r="A4" s="71">
        <v>2</v>
      </c>
      <c r="B4" s="64" t="s">
        <v>93</v>
      </c>
      <c r="C4" s="71" t="s">
        <v>60</v>
      </c>
      <c r="D4" s="100">
        <v>38.270000000000003</v>
      </c>
      <c r="E4" s="71">
        <v>2</v>
      </c>
      <c r="F4" s="72">
        <f>D4*E4</f>
        <v>76.540000000000006</v>
      </c>
    </row>
    <row r="5" spans="1:6" s="3" customFormat="1" ht="20.100000000000001" customHeight="1" thickTop="1" thickBot="1" x14ac:dyDescent="0.35">
      <c r="A5" s="71">
        <v>3</v>
      </c>
      <c r="B5" s="64" t="s">
        <v>94</v>
      </c>
      <c r="C5" s="71" t="s">
        <v>60</v>
      </c>
      <c r="D5" s="100">
        <v>231.68</v>
      </c>
      <c r="E5" s="71">
        <v>2</v>
      </c>
      <c r="F5" s="72">
        <f t="shared" ref="F5:F9" si="0">D5*E5</f>
        <v>463.36</v>
      </c>
    </row>
    <row r="6" spans="1:6" s="3" customFormat="1" ht="20.100000000000001" customHeight="1" thickTop="1" thickBot="1" x14ac:dyDescent="0.35">
      <c r="A6" s="71">
        <v>4</v>
      </c>
      <c r="B6" s="64" t="s">
        <v>95</v>
      </c>
      <c r="C6" s="71" t="s">
        <v>60</v>
      </c>
      <c r="D6" s="100">
        <v>36.94</v>
      </c>
      <c r="E6" s="71">
        <v>2</v>
      </c>
      <c r="F6" s="72">
        <f t="shared" si="0"/>
        <v>73.88</v>
      </c>
    </row>
    <row r="7" spans="1:6" s="3" customFormat="1" ht="20.100000000000001" customHeight="1" thickTop="1" thickBot="1" x14ac:dyDescent="0.35">
      <c r="A7" s="71">
        <v>5</v>
      </c>
      <c r="B7" s="64" t="s">
        <v>96</v>
      </c>
      <c r="C7" s="71" t="s">
        <v>60</v>
      </c>
      <c r="D7" s="100">
        <v>12.7</v>
      </c>
      <c r="E7" s="71">
        <v>2</v>
      </c>
      <c r="F7" s="72">
        <f t="shared" si="0"/>
        <v>25.4</v>
      </c>
    </row>
    <row r="8" spans="1:6" s="3" customFormat="1" ht="20.100000000000001" customHeight="1" thickTop="1" thickBot="1" x14ac:dyDescent="0.35">
      <c r="A8" s="71">
        <v>6</v>
      </c>
      <c r="B8" s="64" t="s">
        <v>97</v>
      </c>
      <c r="C8" s="71" t="s">
        <v>60</v>
      </c>
      <c r="D8" s="100">
        <v>17.04</v>
      </c>
      <c r="E8" s="71">
        <v>2</v>
      </c>
      <c r="F8" s="72">
        <f t="shared" si="0"/>
        <v>34.08</v>
      </c>
    </row>
    <row r="9" spans="1:6" s="3" customFormat="1" ht="20.100000000000001" customHeight="1" thickTop="1" thickBot="1" x14ac:dyDescent="0.35">
      <c r="A9" s="71">
        <v>7</v>
      </c>
      <c r="B9" s="64" t="s">
        <v>98</v>
      </c>
      <c r="C9" s="71" t="s">
        <v>92</v>
      </c>
      <c r="D9" s="100">
        <v>80.180000000000007</v>
      </c>
      <c r="E9" s="71">
        <v>2</v>
      </c>
      <c r="F9" s="72">
        <f t="shared" si="0"/>
        <v>160.36000000000001</v>
      </c>
    </row>
    <row r="10" spans="1:6" s="3" customFormat="1" ht="20.100000000000001" customHeight="1" thickTop="1" thickBot="1" x14ac:dyDescent="0.35">
      <c r="A10" s="71">
        <v>8</v>
      </c>
      <c r="B10" s="64"/>
      <c r="C10" s="71"/>
      <c r="D10" s="75"/>
      <c r="E10" s="71"/>
      <c r="F10" s="72"/>
    </row>
    <row r="11" spans="1:6" s="3" customFormat="1" ht="20.100000000000001" customHeight="1" thickTop="1" thickBot="1" x14ac:dyDescent="0.35">
      <c r="A11" s="71">
        <v>9</v>
      </c>
      <c r="B11" s="71"/>
      <c r="C11" s="71"/>
      <c r="D11" s="71"/>
      <c r="E11" s="71"/>
      <c r="F11" s="71"/>
    </row>
    <row r="12" spans="1:6" s="3" customFormat="1" ht="20.100000000000001" customHeight="1" thickTop="1" thickBot="1" x14ac:dyDescent="0.35">
      <c r="A12" s="41" t="s">
        <v>40</v>
      </c>
      <c r="B12" s="71"/>
      <c r="C12" s="71"/>
      <c r="D12" s="75">
        <f>SUM(D3:D10)</f>
        <v>432.96000000000004</v>
      </c>
      <c r="E12" s="71"/>
      <c r="F12" s="75">
        <f>SUM(F3:F10)</f>
        <v>865.92000000000007</v>
      </c>
    </row>
    <row r="13" spans="1:6" s="3" customFormat="1" ht="20.100000000000001" customHeight="1" thickTop="1" thickBot="1" x14ac:dyDescent="0.35">
      <c r="A13" s="25"/>
      <c r="B13" s="25"/>
      <c r="C13" s="25"/>
      <c r="D13" s="25"/>
      <c r="E13" s="25"/>
      <c r="F13" s="25"/>
    </row>
    <row r="14" spans="1:6" s="3" customFormat="1" ht="20.100000000000001" customHeight="1" thickTop="1" thickBot="1" x14ac:dyDescent="0.35">
      <c r="A14" s="25"/>
      <c r="B14" s="25"/>
      <c r="C14" s="25"/>
      <c r="D14" s="169" t="s">
        <v>99</v>
      </c>
      <c r="E14" s="170"/>
      <c r="F14" s="101">
        <f>TRUNC((F12/12),2)</f>
        <v>72.16</v>
      </c>
    </row>
    <row r="15" spans="1:6" s="3" customFormat="1" ht="20.100000000000001" customHeight="1" thickTop="1" thickBot="1" x14ac:dyDescent="0.35">
      <c r="A15" s="25"/>
      <c r="B15" s="124" t="s">
        <v>100</v>
      </c>
      <c r="C15" s="125"/>
      <c r="D15" s="125"/>
      <c r="E15" s="126"/>
      <c r="F15" s="102">
        <f>TRUNC((F14/2),2)</f>
        <v>36.08</v>
      </c>
    </row>
    <row r="16" spans="1:6" ht="15" thickTop="1" x14ac:dyDescent="0.3">
      <c r="A16" s="4"/>
      <c r="B16" s="4"/>
      <c r="C16" s="4"/>
      <c r="D16" s="4"/>
      <c r="E16" s="4"/>
      <c r="F16" s="4"/>
    </row>
    <row r="17" spans="1:6" x14ac:dyDescent="0.3">
      <c r="A17" s="4"/>
      <c r="B17" s="4"/>
      <c r="C17" s="4"/>
      <c r="D17" s="4"/>
      <c r="E17" s="4"/>
      <c r="F17" s="4"/>
    </row>
    <row r="18" spans="1:6" x14ac:dyDescent="0.3">
      <c r="A18" s="4"/>
      <c r="B18" s="4"/>
      <c r="C18" s="4"/>
      <c r="D18" s="4"/>
      <c r="E18" s="4"/>
      <c r="F18" s="4"/>
    </row>
    <row r="19" spans="1:6" x14ac:dyDescent="0.3">
      <c r="A19" s="4"/>
      <c r="B19" s="4"/>
      <c r="C19" s="4"/>
      <c r="D19" s="4"/>
      <c r="E19" s="4"/>
      <c r="F19" s="4"/>
    </row>
    <row r="20" spans="1:6" x14ac:dyDescent="0.3">
      <c r="A20" s="4"/>
      <c r="B20" s="4"/>
      <c r="C20" s="4"/>
      <c r="D20" s="4"/>
      <c r="E20" s="4"/>
      <c r="F20" s="4"/>
    </row>
    <row r="21" spans="1:6" x14ac:dyDescent="0.3">
      <c r="A21" s="4"/>
      <c r="B21" s="4"/>
      <c r="C21" s="4"/>
      <c r="D21" s="4"/>
      <c r="E21" s="4"/>
      <c r="F21" s="4"/>
    </row>
    <row r="22" spans="1:6" x14ac:dyDescent="0.3">
      <c r="A22" s="4"/>
      <c r="B22" s="4"/>
      <c r="C22" s="4"/>
      <c r="D22" s="4"/>
      <c r="E22" s="4"/>
      <c r="F22" s="4"/>
    </row>
    <row r="23" spans="1:6" x14ac:dyDescent="0.3">
      <c r="A23" s="4"/>
      <c r="B23" s="4"/>
      <c r="C23" s="4"/>
      <c r="D23" s="4"/>
      <c r="E23" s="4"/>
      <c r="F23" s="4"/>
    </row>
    <row r="24" spans="1:6" x14ac:dyDescent="0.3">
      <c r="A24" s="4"/>
      <c r="B24" s="4"/>
      <c r="C24" s="4"/>
      <c r="D24" s="4"/>
      <c r="E24" s="4"/>
      <c r="F24" s="4"/>
    </row>
  </sheetData>
  <sheetProtection sheet="1" objects="1" scenarios="1"/>
  <protectedRanges>
    <protectedRange sqref="D3:D9" name="Intervalo1"/>
  </protectedRanges>
  <mergeCells count="3">
    <mergeCell ref="A1:F1"/>
    <mergeCell ref="D14:E14"/>
    <mergeCell ref="B15:E15"/>
  </mergeCells>
  <pageMargins left="0.511811024" right="0.511811024" top="0.78740157499999996" bottom="0.78740157499999996" header="0.31496062000000002" footer="0.3149606200000000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41F042-86A3-4AEA-A962-BBC8761ECEB6}">
  <dimension ref="A1:H151"/>
  <sheetViews>
    <sheetView zoomScale="160" zoomScaleNormal="160" workbookViewId="0">
      <selection activeCell="C10" sqref="C10:F10"/>
    </sheetView>
  </sheetViews>
  <sheetFormatPr defaultRowHeight="14.4" x14ac:dyDescent="0.3"/>
  <cols>
    <col min="1" max="1" width="14.44140625" customWidth="1"/>
    <col min="2" max="2" width="18.6640625" customWidth="1"/>
    <col min="3" max="3" width="20.5546875" customWidth="1"/>
    <col min="4" max="4" width="18.5546875" customWidth="1"/>
    <col min="5" max="5" width="18.6640625" customWidth="1"/>
    <col min="6" max="6" width="18.5546875" customWidth="1"/>
  </cols>
  <sheetData>
    <row r="1" spans="1:6" ht="15" thickTop="1" x14ac:dyDescent="0.3">
      <c r="A1" s="171"/>
      <c r="B1" s="172"/>
      <c r="C1" s="172"/>
      <c r="D1" s="172"/>
      <c r="E1" s="172"/>
      <c r="F1" s="173"/>
    </row>
    <row r="2" spans="1:6" x14ac:dyDescent="0.3">
      <c r="A2" s="174"/>
      <c r="B2" s="175"/>
      <c r="C2" s="175"/>
      <c r="D2" s="175"/>
      <c r="E2" s="175"/>
      <c r="F2" s="176"/>
    </row>
    <row r="3" spans="1:6" x14ac:dyDescent="0.3">
      <c r="A3" s="174"/>
      <c r="B3" s="175"/>
      <c r="C3" s="175"/>
      <c r="D3" s="175"/>
      <c r="E3" s="175"/>
      <c r="F3" s="176"/>
    </row>
    <row r="4" spans="1:6" x14ac:dyDescent="0.3">
      <c r="A4" s="174"/>
      <c r="B4" s="175"/>
      <c r="C4" s="175"/>
      <c r="D4" s="175"/>
      <c r="E4" s="175"/>
      <c r="F4" s="176"/>
    </row>
    <row r="5" spans="1:6" x14ac:dyDescent="0.3">
      <c r="A5" s="174"/>
      <c r="B5" s="175"/>
      <c r="C5" s="175"/>
      <c r="D5" s="175"/>
      <c r="E5" s="175"/>
      <c r="F5" s="176"/>
    </row>
    <row r="6" spans="1:6" ht="15" thickBot="1" x14ac:dyDescent="0.35">
      <c r="A6" s="174"/>
      <c r="B6" s="175"/>
      <c r="C6" s="175"/>
      <c r="D6" s="175"/>
      <c r="E6" s="175"/>
      <c r="F6" s="176"/>
    </row>
    <row r="7" spans="1:6" ht="15.6" thickTop="1" thickBot="1" x14ac:dyDescent="0.35">
      <c r="A7" s="177"/>
      <c r="B7" s="178"/>
      <c r="C7" s="178"/>
      <c r="D7" s="178"/>
      <c r="E7" s="178"/>
      <c r="F7" s="179"/>
    </row>
    <row r="8" spans="1:6" ht="15.6" thickTop="1" thickBot="1" x14ac:dyDescent="0.35">
      <c r="A8" s="180" t="s">
        <v>101</v>
      </c>
      <c r="B8" s="181"/>
      <c r="C8" s="181"/>
      <c r="D8" s="181"/>
      <c r="E8" s="181"/>
      <c r="F8" s="182"/>
    </row>
    <row r="9" spans="1:6" ht="15.6" thickTop="1" thickBot="1" x14ac:dyDescent="0.35">
      <c r="A9" s="183" t="s">
        <v>102</v>
      </c>
      <c r="B9" s="184"/>
      <c r="C9" s="185" t="s">
        <v>103</v>
      </c>
      <c r="D9" s="186"/>
      <c r="E9" s="186"/>
      <c r="F9" s="187"/>
    </row>
    <row r="10" spans="1:6" ht="15.6" thickTop="1" thickBot="1" x14ac:dyDescent="0.35">
      <c r="A10" s="188" t="s">
        <v>104</v>
      </c>
      <c r="B10" s="189"/>
      <c r="C10" s="190" t="s">
        <v>105</v>
      </c>
      <c r="D10" s="191"/>
      <c r="E10" s="191"/>
      <c r="F10" s="192"/>
    </row>
    <row r="11" spans="1:6" ht="15.6" thickTop="1" thickBot="1" x14ac:dyDescent="0.35">
      <c r="A11" s="177"/>
      <c r="B11" s="178"/>
      <c r="C11" s="178"/>
      <c r="D11" s="178"/>
      <c r="E11" s="178"/>
      <c r="F11" s="179"/>
    </row>
    <row r="12" spans="1:6" ht="15.6" thickTop="1" thickBot="1" x14ac:dyDescent="0.35">
      <c r="A12" s="180" t="s">
        <v>106</v>
      </c>
      <c r="B12" s="181"/>
      <c r="C12" s="181"/>
      <c r="D12" s="181"/>
      <c r="E12" s="181"/>
      <c r="F12" s="182"/>
    </row>
    <row r="13" spans="1:6" ht="15.6" thickTop="1" thickBot="1" x14ac:dyDescent="0.35">
      <c r="A13" s="183" t="s">
        <v>107</v>
      </c>
      <c r="B13" s="184"/>
      <c r="C13" s="190" t="s">
        <v>108</v>
      </c>
      <c r="D13" s="191"/>
      <c r="E13" s="191"/>
      <c r="F13" s="192"/>
    </row>
    <row r="14" spans="1:6" ht="15.6" thickTop="1" thickBot="1" x14ac:dyDescent="0.35">
      <c r="A14" s="188" t="s">
        <v>109</v>
      </c>
      <c r="B14" s="189"/>
      <c r="C14" s="188" t="s">
        <v>110</v>
      </c>
      <c r="D14" s="202"/>
      <c r="E14" s="202"/>
      <c r="F14" s="189"/>
    </row>
    <row r="15" spans="1:6" ht="15.6" thickTop="1" thickBot="1" x14ac:dyDescent="0.35">
      <c r="A15" s="193" t="s">
        <v>111</v>
      </c>
      <c r="B15" s="194"/>
      <c r="C15" s="199" t="s">
        <v>112</v>
      </c>
      <c r="D15" s="200"/>
      <c r="E15" s="200"/>
      <c r="F15" s="201"/>
    </row>
    <row r="16" spans="1:6" ht="15.6" thickTop="1" thickBot="1" x14ac:dyDescent="0.35">
      <c r="A16" s="195"/>
      <c r="B16" s="196"/>
      <c r="C16" s="199" t="s">
        <v>113</v>
      </c>
      <c r="D16" s="200"/>
      <c r="E16" s="200"/>
      <c r="F16" s="201"/>
    </row>
    <row r="17" spans="1:6" ht="15.6" thickTop="1" thickBot="1" x14ac:dyDescent="0.35">
      <c r="A17" s="197"/>
      <c r="B17" s="198"/>
      <c r="C17" s="199" t="s">
        <v>114</v>
      </c>
      <c r="D17" s="200"/>
      <c r="E17" s="200"/>
      <c r="F17" s="201"/>
    </row>
    <row r="18" spans="1:6" ht="15.75" customHeight="1" thickTop="1" thickBot="1" x14ac:dyDescent="0.35">
      <c r="A18" s="204" t="s">
        <v>115</v>
      </c>
      <c r="B18" s="205"/>
      <c r="C18" s="188">
        <v>12</v>
      </c>
      <c r="D18" s="202"/>
      <c r="E18" s="202"/>
      <c r="F18" s="189"/>
    </row>
    <row r="19" spans="1:6" ht="15.6" thickTop="1" thickBot="1" x14ac:dyDescent="0.35">
      <c r="A19" s="177"/>
      <c r="B19" s="178"/>
      <c r="C19" s="178"/>
      <c r="D19" s="178"/>
      <c r="E19" s="178"/>
      <c r="F19" s="179"/>
    </row>
    <row r="20" spans="1:6" ht="15.6" thickTop="1" thickBot="1" x14ac:dyDescent="0.35">
      <c r="A20" s="180" t="s">
        <v>116</v>
      </c>
      <c r="B20" s="181"/>
      <c r="C20" s="181"/>
      <c r="D20" s="181"/>
      <c r="E20" s="181"/>
      <c r="F20" s="182"/>
    </row>
    <row r="21" spans="1:6" ht="15.6" thickTop="1" thickBot="1" x14ac:dyDescent="0.35">
      <c r="A21" s="183" t="s">
        <v>117</v>
      </c>
      <c r="B21" s="184"/>
      <c r="C21" s="183" t="s">
        <v>118</v>
      </c>
      <c r="D21" s="208"/>
      <c r="E21" s="208"/>
      <c r="F21" s="184"/>
    </row>
    <row r="22" spans="1:6" ht="27" customHeight="1" thickTop="1" thickBot="1" x14ac:dyDescent="0.35">
      <c r="A22" s="204" t="s">
        <v>119</v>
      </c>
      <c r="B22" s="205"/>
      <c r="C22" s="188">
        <v>1</v>
      </c>
      <c r="D22" s="202"/>
      <c r="E22" s="202"/>
      <c r="F22" s="189"/>
    </row>
    <row r="23" spans="1:6" ht="15.6" thickTop="1" thickBot="1" x14ac:dyDescent="0.35">
      <c r="A23" s="177"/>
      <c r="B23" s="178"/>
      <c r="C23" s="178"/>
      <c r="D23" s="178"/>
      <c r="E23" s="178"/>
      <c r="F23" s="179"/>
    </row>
    <row r="24" spans="1:6" ht="15.6" thickTop="1" thickBot="1" x14ac:dyDescent="0.35">
      <c r="A24" s="180" t="s">
        <v>120</v>
      </c>
      <c r="B24" s="181"/>
      <c r="C24" s="181"/>
      <c r="D24" s="181"/>
      <c r="E24" s="181"/>
      <c r="F24" s="182"/>
    </row>
    <row r="25" spans="1:6" ht="15.6" thickTop="1" thickBot="1" x14ac:dyDescent="0.35">
      <c r="A25" s="188" t="s">
        <v>121</v>
      </c>
      <c r="B25" s="202"/>
      <c r="C25" s="202"/>
      <c r="D25" s="202"/>
      <c r="E25" s="202"/>
      <c r="F25" s="189"/>
    </row>
    <row r="26" spans="1:6" ht="21" customHeight="1" thickTop="1" thickBot="1" x14ac:dyDescent="0.35">
      <c r="A26" s="206" t="s">
        <v>122</v>
      </c>
      <c r="B26" s="207"/>
      <c r="C26" s="183" t="s">
        <v>123</v>
      </c>
      <c r="D26" s="208"/>
      <c r="E26" s="208"/>
      <c r="F26" s="184"/>
    </row>
    <row r="27" spans="1:6" ht="15.6" thickTop="1" thickBot="1" x14ac:dyDescent="0.35">
      <c r="A27" s="188" t="s">
        <v>124</v>
      </c>
      <c r="B27" s="189"/>
      <c r="C27" s="209" t="s">
        <v>125</v>
      </c>
      <c r="D27" s="210"/>
      <c r="E27" s="210"/>
      <c r="F27" s="211"/>
    </row>
    <row r="28" spans="1:6" ht="15.6" thickTop="1" thickBot="1" x14ac:dyDescent="0.35">
      <c r="A28" s="183" t="s">
        <v>126</v>
      </c>
      <c r="B28" s="184"/>
      <c r="C28" s="203">
        <f>'Salários.VA.VT.QteDias.LDI.T'!C3</f>
        <v>1063.56</v>
      </c>
      <c r="D28" s="191"/>
      <c r="E28" s="191"/>
      <c r="F28" s="192"/>
    </row>
    <row r="29" spans="1:6" ht="24.75" customHeight="1" thickTop="1" thickBot="1" x14ac:dyDescent="0.35">
      <c r="A29" s="204" t="s">
        <v>127</v>
      </c>
      <c r="B29" s="205"/>
      <c r="C29" s="188" t="s">
        <v>128</v>
      </c>
      <c r="D29" s="202"/>
      <c r="E29" s="202"/>
      <c r="F29" s="189"/>
    </row>
    <row r="30" spans="1:6" ht="15.6" thickTop="1" thickBot="1" x14ac:dyDescent="0.35">
      <c r="A30" s="183" t="s">
        <v>129</v>
      </c>
      <c r="B30" s="184"/>
      <c r="C30" s="190" t="s">
        <v>130</v>
      </c>
      <c r="D30" s="191"/>
      <c r="E30" s="191"/>
      <c r="F30" s="192"/>
    </row>
    <row r="31" spans="1:6" ht="15.6" thickTop="1" thickBot="1" x14ac:dyDescent="0.35">
      <c r="A31" s="218" t="s">
        <v>131</v>
      </c>
      <c r="B31" s="219"/>
      <c r="C31" s="219"/>
      <c r="D31" s="219"/>
      <c r="E31" s="219"/>
      <c r="F31" s="220"/>
    </row>
    <row r="32" spans="1:6" ht="15.6" thickTop="1" thickBot="1" x14ac:dyDescent="0.35">
      <c r="A32" s="180" t="s">
        <v>132</v>
      </c>
      <c r="B32" s="181"/>
      <c r="C32" s="181"/>
      <c r="D32" s="181"/>
      <c r="E32" s="181"/>
      <c r="F32" s="182"/>
    </row>
    <row r="33" spans="1:6" ht="15.6" thickTop="1" thickBot="1" x14ac:dyDescent="0.35">
      <c r="A33" s="8" t="s">
        <v>1</v>
      </c>
      <c r="B33" s="221" t="s">
        <v>133</v>
      </c>
      <c r="C33" s="222"/>
      <c r="D33" s="222"/>
      <c r="E33" s="223"/>
      <c r="F33" s="9" t="s">
        <v>134</v>
      </c>
    </row>
    <row r="34" spans="1:6" ht="15.6" thickTop="1" thickBot="1" x14ac:dyDescent="0.35">
      <c r="A34" s="10" t="s">
        <v>135</v>
      </c>
      <c r="B34" s="215" t="s">
        <v>136</v>
      </c>
      <c r="C34" s="216"/>
      <c r="D34" s="216"/>
      <c r="E34" s="217"/>
      <c r="F34" s="11">
        <f>$C$28</f>
        <v>1063.56</v>
      </c>
    </row>
    <row r="35" spans="1:6" ht="15.6" thickTop="1" thickBot="1" x14ac:dyDescent="0.35">
      <c r="A35" s="8" t="s">
        <v>137</v>
      </c>
      <c r="B35" s="212" t="s">
        <v>138</v>
      </c>
      <c r="C35" s="213"/>
      <c r="D35" s="213"/>
      <c r="E35" s="214"/>
      <c r="F35" s="103">
        <f>TRUNC(($F$34*0.25),2)</f>
        <v>265.89</v>
      </c>
    </row>
    <row r="36" spans="1:6" ht="15.6" thickTop="1" thickBot="1" x14ac:dyDescent="0.35">
      <c r="A36" s="10" t="s">
        <v>139</v>
      </c>
      <c r="B36" s="224" t="s">
        <v>140</v>
      </c>
      <c r="C36" s="225"/>
      <c r="D36" s="225"/>
      <c r="E36" s="226"/>
      <c r="F36" s="103">
        <f>TRUNC(((F34+F40)*0.3),2)</f>
        <v>384.51</v>
      </c>
    </row>
    <row r="37" spans="1:6" ht="15.6" thickTop="1" thickBot="1" x14ac:dyDescent="0.35">
      <c r="A37" s="8" t="s">
        <v>141</v>
      </c>
      <c r="B37" s="212" t="s">
        <v>142</v>
      </c>
      <c r="C37" s="213"/>
      <c r="D37" s="213"/>
      <c r="E37" s="214"/>
      <c r="F37" s="103">
        <f>TRUNC((1844.29),2)</f>
        <v>1844.29</v>
      </c>
    </row>
    <row r="38" spans="1:6" ht="15.6" thickTop="1" thickBot="1" x14ac:dyDescent="0.35">
      <c r="A38" s="10" t="s">
        <v>143</v>
      </c>
      <c r="B38" s="215" t="s">
        <v>144</v>
      </c>
      <c r="C38" s="216"/>
      <c r="D38" s="216"/>
      <c r="E38" s="217"/>
      <c r="F38" s="103">
        <f>TRUNC((491.81),2)</f>
        <v>491.81</v>
      </c>
    </row>
    <row r="39" spans="1:6" ht="15.6" thickTop="1" thickBot="1" x14ac:dyDescent="0.35">
      <c r="A39" s="8" t="s">
        <v>145</v>
      </c>
      <c r="B39" s="212" t="s">
        <v>146</v>
      </c>
      <c r="C39" s="213"/>
      <c r="D39" s="213"/>
      <c r="E39" s="214"/>
      <c r="F39" s="103">
        <f>TRUNC((711.36),2)</f>
        <v>711.36</v>
      </c>
    </row>
    <row r="40" spans="1:6" ht="15.6" thickTop="1" thickBot="1" x14ac:dyDescent="0.35">
      <c r="A40" s="10" t="s">
        <v>147</v>
      </c>
      <c r="B40" s="215" t="s">
        <v>148</v>
      </c>
      <c r="C40" s="216"/>
      <c r="D40" s="216"/>
      <c r="E40" s="217"/>
      <c r="F40" s="103">
        <v>218.14</v>
      </c>
    </row>
    <row r="41" spans="1:6" ht="15.6" thickTop="1" thickBot="1" x14ac:dyDescent="0.35">
      <c r="A41" s="180" t="s">
        <v>149</v>
      </c>
      <c r="B41" s="181"/>
      <c r="C41" s="181"/>
      <c r="D41" s="181"/>
      <c r="E41" s="182"/>
      <c r="F41" s="13">
        <f>TRUNC(SUM(F34:F39),2)</f>
        <v>4761.42</v>
      </c>
    </row>
    <row r="42" spans="1:6" ht="15.6" thickTop="1" thickBot="1" x14ac:dyDescent="0.35">
      <c r="A42" s="177"/>
      <c r="B42" s="178"/>
      <c r="C42" s="178"/>
      <c r="D42" s="178"/>
      <c r="E42" s="178"/>
      <c r="F42" s="179"/>
    </row>
    <row r="43" spans="1:6" ht="15.6" thickTop="1" thickBot="1" x14ac:dyDescent="0.35">
      <c r="A43" s="180" t="s">
        <v>150</v>
      </c>
      <c r="B43" s="181"/>
      <c r="C43" s="181"/>
      <c r="D43" s="181"/>
      <c r="E43" s="181"/>
      <c r="F43" s="182"/>
    </row>
    <row r="44" spans="1:6" ht="15.6" thickTop="1" thickBot="1" x14ac:dyDescent="0.35">
      <c r="A44" s="227" t="s">
        <v>151</v>
      </c>
      <c r="B44" s="228"/>
      <c r="C44" s="228"/>
      <c r="D44" s="228"/>
      <c r="E44" s="228"/>
      <c r="F44" s="229"/>
    </row>
    <row r="45" spans="1:6" ht="15.6" thickTop="1" thickBot="1" x14ac:dyDescent="0.35">
      <c r="A45" s="8" t="s">
        <v>152</v>
      </c>
      <c r="B45" s="221" t="s">
        <v>153</v>
      </c>
      <c r="C45" s="222"/>
      <c r="D45" s="223"/>
      <c r="E45" s="9" t="s">
        <v>154</v>
      </c>
      <c r="F45" s="9" t="s">
        <v>134</v>
      </c>
    </row>
    <row r="46" spans="1:6" ht="15.6" thickTop="1" thickBot="1" x14ac:dyDescent="0.35">
      <c r="A46" s="42" t="s">
        <v>135</v>
      </c>
      <c r="B46" s="230" t="s">
        <v>155</v>
      </c>
      <c r="C46" s="230"/>
      <c r="D46" s="230"/>
      <c r="E46" s="43">
        <f>TRUNC((100/12),2)</f>
        <v>8.33</v>
      </c>
      <c r="F46" s="44">
        <f>TRUNC((F41*E46%),2)</f>
        <v>396.62</v>
      </c>
    </row>
    <row r="47" spans="1:6" ht="15.6" thickTop="1" thickBot="1" x14ac:dyDescent="0.35">
      <c r="A47" s="45" t="s">
        <v>137</v>
      </c>
      <c r="B47" s="231" t="s">
        <v>156</v>
      </c>
      <c r="C47" s="231"/>
      <c r="D47" s="231"/>
      <c r="E47" s="46">
        <f>E46/3</f>
        <v>2.7766666666666668</v>
      </c>
      <c r="F47" s="47">
        <f>TRUNC((F41*E47%),2)</f>
        <v>132.19999999999999</v>
      </c>
    </row>
    <row r="48" spans="1:6" ht="15.6" thickTop="1" thickBot="1" x14ac:dyDescent="0.35">
      <c r="A48" s="180" t="s">
        <v>157</v>
      </c>
      <c r="B48" s="181"/>
      <c r="C48" s="181"/>
      <c r="D48" s="182"/>
      <c r="E48" s="35">
        <f>SUM(E46:E47)</f>
        <v>11.106666666666667</v>
      </c>
      <c r="F48" s="13">
        <f>TRUNC((SUM(F46:F47)),2)</f>
        <v>528.82000000000005</v>
      </c>
    </row>
    <row r="49" spans="1:6" ht="15.6" thickTop="1" thickBot="1" x14ac:dyDescent="0.35">
      <c r="A49" s="227" t="s">
        <v>158</v>
      </c>
      <c r="B49" s="228"/>
      <c r="C49" s="228"/>
      <c r="D49" s="228"/>
      <c r="E49" s="228"/>
      <c r="F49" s="229"/>
    </row>
    <row r="50" spans="1:6" ht="15.6" thickTop="1" thickBot="1" x14ac:dyDescent="0.35">
      <c r="A50" s="8" t="s">
        <v>159</v>
      </c>
      <c r="B50" s="212" t="s">
        <v>160</v>
      </c>
      <c r="C50" s="213"/>
      <c r="D50" s="214"/>
      <c r="E50" s="9" t="s">
        <v>154</v>
      </c>
      <c r="F50" s="9" t="s">
        <v>134</v>
      </c>
    </row>
    <row r="51" spans="1:6" ht="15.6" thickTop="1" thickBot="1" x14ac:dyDescent="0.35">
      <c r="A51" s="42" t="s">
        <v>135</v>
      </c>
      <c r="B51" s="230" t="s">
        <v>161</v>
      </c>
      <c r="C51" s="230"/>
      <c r="D51" s="230"/>
      <c r="E51" s="48">
        <v>0.2</v>
      </c>
      <c r="F51" s="44">
        <f t="shared" ref="F51:F58" si="0">TRUNC((($F$41+$F$48)*E51),2)</f>
        <v>1058.04</v>
      </c>
    </row>
    <row r="52" spans="1:6" ht="15.6" thickTop="1" thickBot="1" x14ac:dyDescent="0.35">
      <c r="A52" s="45" t="s">
        <v>137</v>
      </c>
      <c r="B52" s="231" t="s">
        <v>162</v>
      </c>
      <c r="C52" s="231"/>
      <c r="D52" s="231"/>
      <c r="E52" s="49">
        <v>2.5000000000000001E-2</v>
      </c>
      <c r="F52" s="47">
        <f t="shared" si="0"/>
        <v>132.25</v>
      </c>
    </row>
    <row r="53" spans="1:6" ht="15.6" thickTop="1" thickBot="1" x14ac:dyDescent="0.35">
      <c r="A53" s="50" t="s">
        <v>139</v>
      </c>
      <c r="B53" s="230" t="s">
        <v>163</v>
      </c>
      <c r="C53" s="230"/>
      <c r="D53" s="230"/>
      <c r="E53" s="104">
        <v>0.03</v>
      </c>
      <c r="F53" s="44">
        <f t="shared" si="0"/>
        <v>158.69999999999999</v>
      </c>
    </row>
    <row r="54" spans="1:6" ht="15.6" thickTop="1" thickBot="1" x14ac:dyDescent="0.35">
      <c r="A54" s="45" t="s">
        <v>141</v>
      </c>
      <c r="B54" s="231" t="s">
        <v>164</v>
      </c>
      <c r="C54" s="231"/>
      <c r="D54" s="231"/>
      <c r="E54" s="49">
        <v>1.4999999999999999E-2</v>
      </c>
      <c r="F54" s="47">
        <f t="shared" si="0"/>
        <v>79.349999999999994</v>
      </c>
    </row>
    <row r="55" spans="1:6" ht="15.6" thickTop="1" thickBot="1" x14ac:dyDescent="0.35">
      <c r="A55" s="42" t="s">
        <v>143</v>
      </c>
      <c r="B55" s="230" t="s">
        <v>165</v>
      </c>
      <c r="C55" s="230"/>
      <c r="D55" s="230"/>
      <c r="E55" s="48">
        <v>0.01</v>
      </c>
      <c r="F55" s="44">
        <f t="shared" si="0"/>
        <v>52.9</v>
      </c>
    </row>
    <row r="56" spans="1:6" ht="15.6" thickTop="1" thickBot="1" x14ac:dyDescent="0.35">
      <c r="A56" s="45" t="s">
        <v>145</v>
      </c>
      <c r="B56" s="231" t="s">
        <v>166</v>
      </c>
      <c r="C56" s="231"/>
      <c r="D56" s="231"/>
      <c r="E56" s="49">
        <v>6.0000000000000001E-3</v>
      </c>
      <c r="F56" s="47">
        <f t="shared" si="0"/>
        <v>31.74</v>
      </c>
    </row>
    <row r="57" spans="1:6" ht="15.6" thickTop="1" thickBot="1" x14ac:dyDescent="0.35">
      <c r="A57" s="42" t="s">
        <v>147</v>
      </c>
      <c r="B57" s="230" t="s">
        <v>167</v>
      </c>
      <c r="C57" s="230"/>
      <c r="D57" s="230"/>
      <c r="E57" s="48">
        <v>2E-3</v>
      </c>
      <c r="F57" s="44">
        <f t="shared" si="0"/>
        <v>10.58</v>
      </c>
    </row>
    <row r="58" spans="1:6" ht="15.6" thickTop="1" thickBot="1" x14ac:dyDescent="0.35">
      <c r="A58" s="45" t="s">
        <v>168</v>
      </c>
      <c r="B58" s="231" t="s">
        <v>169</v>
      </c>
      <c r="C58" s="231"/>
      <c r="D58" s="231"/>
      <c r="E58" s="49">
        <v>0.08</v>
      </c>
      <c r="F58" s="47">
        <f t="shared" si="0"/>
        <v>423.21</v>
      </c>
    </row>
    <row r="59" spans="1:6" ht="15.6" thickTop="1" thickBot="1" x14ac:dyDescent="0.35">
      <c r="A59" s="180" t="s">
        <v>170</v>
      </c>
      <c r="B59" s="181"/>
      <c r="C59" s="181"/>
      <c r="D59" s="182"/>
      <c r="E59" s="16">
        <f>SUM(E51:E58)</f>
        <v>0.36800000000000005</v>
      </c>
      <c r="F59" s="13">
        <f>TRUNC((SUM(F51:F58)),2)</f>
        <v>1946.77</v>
      </c>
    </row>
    <row r="60" spans="1:6" ht="15.6" thickTop="1" thickBot="1" x14ac:dyDescent="0.35">
      <c r="A60" s="227" t="s">
        <v>171</v>
      </c>
      <c r="B60" s="228"/>
      <c r="C60" s="228"/>
      <c r="D60" s="228"/>
      <c r="E60" s="228"/>
      <c r="F60" s="229"/>
    </row>
    <row r="61" spans="1:6" ht="15.6" thickTop="1" thickBot="1" x14ac:dyDescent="0.35">
      <c r="A61" s="17" t="s">
        <v>172</v>
      </c>
      <c r="B61" s="227" t="s">
        <v>173</v>
      </c>
      <c r="C61" s="228"/>
      <c r="D61" s="228"/>
      <c r="E61" s="228"/>
      <c r="F61" s="229"/>
    </row>
    <row r="62" spans="1:6" ht="15.6" thickTop="1" thickBot="1" x14ac:dyDescent="0.35">
      <c r="A62" s="232" t="s">
        <v>135</v>
      </c>
      <c r="B62" s="8" t="s">
        <v>174</v>
      </c>
      <c r="C62" s="8" t="s">
        <v>175</v>
      </c>
      <c r="D62" s="8" t="s">
        <v>176</v>
      </c>
      <c r="E62" s="8" t="s">
        <v>177</v>
      </c>
      <c r="F62" s="8" t="s">
        <v>134</v>
      </c>
    </row>
    <row r="63" spans="1:6" ht="15.6" thickTop="1" thickBot="1" x14ac:dyDescent="0.35">
      <c r="A63" s="233"/>
      <c r="B63" s="12">
        <f>'Salários.VA.VT.QteDias.LDI.T'!C19</f>
        <v>4</v>
      </c>
      <c r="C63" s="8">
        <v>2</v>
      </c>
      <c r="D63" s="8">
        <f>'Salários.VA.VT.QteDias.LDI.T'!B34</f>
        <v>2</v>
      </c>
      <c r="E63" s="12">
        <f>TRUNC(($F$34*6%),2)</f>
        <v>63.81</v>
      </c>
      <c r="F63" s="12">
        <f>TRUNC(IF(E63&gt;=16,0,((B63*C63*D63)-E63)),2)</f>
        <v>0</v>
      </c>
    </row>
    <row r="64" spans="1:6" ht="15.6" thickTop="1" thickBot="1" x14ac:dyDescent="0.35">
      <c r="A64" s="234" t="s">
        <v>137</v>
      </c>
      <c r="B64" s="236" t="s">
        <v>316</v>
      </c>
      <c r="C64" s="237"/>
      <c r="D64" s="10" t="s">
        <v>176</v>
      </c>
      <c r="E64" s="10" t="s">
        <v>177</v>
      </c>
      <c r="F64" s="10" t="s">
        <v>134</v>
      </c>
    </row>
    <row r="65" spans="1:8" ht="15.6" thickTop="1" thickBot="1" x14ac:dyDescent="0.35">
      <c r="A65" s="235"/>
      <c r="B65" s="238">
        <f>'Salários.VA.VT.QteDias.LDI.T'!B19</f>
        <v>26.53</v>
      </c>
      <c r="C65" s="237"/>
      <c r="D65" s="10">
        <f>'Salários.VA.VT.QteDias.LDI.T'!B34</f>
        <v>2</v>
      </c>
      <c r="E65" s="11">
        <f>TRUNC(0.1*(B65*D65),2)</f>
        <v>5.3</v>
      </c>
      <c r="F65" s="11">
        <f>TRUNC(((B65*D65)-E65),2)</f>
        <v>47.76</v>
      </c>
    </row>
    <row r="66" spans="1:8" ht="15.6" thickTop="1" thickBot="1" x14ac:dyDescent="0.35">
      <c r="A66" s="232" t="s">
        <v>139</v>
      </c>
      <c r="B66" s="231" t="s">
        <v>178</v>
      </c>
      <c r="C66" s="231"/>
      <c r="D66" s="231"/>
      <c r="E66" s="231"/>
      <c r="F66" s="8" t="s">
        <v>134</v>
      </c>
    </row>
    <row r="67" spans="1:8" ht="15.6" thickTop="1" thickBot="1" x14ac:dyDescent="0.35">
      <c r="A67" s="233"/>
      <c r="B67" s="231"/>
      <c r="C67" s="231"/>
      <c r="D67" s="231"/>
      <c r="E67" s="231"/>
      <c r="F67" s="103">
        <v>0</v>
      </c>
    </row>
    <row r="68" spans="1:8" ht="15.6" thickTop="1" thickBot="1" x14ac:dyDescent="0.35">
      <c r="A68" s="234" t="s">
        <v>141</v>
      </c>
      <c r="B68" s="230" t="s">
        <v>179</v>
      </c>
      <c r="C68" s="230"/>
      <c r="D68" s="230"/>
      <c r="E68" s="230"/>
      <c r="F68" s="10" t="s">
        <v>134</v>
      </c>
    </row>
    <row r="69" spans="1:8" ht="15.6" thickTop="1" thickBot="1" x14ac:dyDescent="0.35">
      <c r="A69" s="235"/>
      <c r="B69" s="230"/>
      <c r="C69" s="230"/>
      <c r="D69" s="230"/>
      <c r="E69" s="230"/>
      <c r="F69" s="103">
        <v>0</v>
      </c>
    </row>
    <row r="70" spans="1:8" ht="15.6" thickTop="1" thickBot="1" x14ac:dyDescent="0.35">
      <c r="A70" s="232" t="s">
        <v>143</v>
      </c>
      <c r="B70" s="231" t="s">
        <v>180</v>
      </c>
      <c r="C70" s="231"/>
      <c r="D70" s="231"/>
      <c r="E70" s="231"/>
      <c r="F70" s="8" t="s">
        <v>134</v>
      </c>
    </row>
    <row r="71" spans="1:8" ht="15.6" thickTop="1" thickBot="1" x14ac:dyDescent="0.35">
      <c r="A71" s="233"/>
      <c r="B71" s="231"/>
      <c r="C71" s="231"/>
      <c r="D71" s="231"/>
      <c r="E71" s="231"/>
      <c r="F71" s="103">
        <v>0</v>
      </c>
    </row>
    <row r="72" spans="1:8" ht="15.6" thickTop="1" thickBot="1" x14ac:dyDescent="0.35">
      <c r="A72" s="180" t="s">
        <v>181</v>
      </c>
      <c r="B72" s="181"/>
      <c r="C72" s="181"/>
      <c r="D72" s="181"/>
      <c r="E72" s="182"/>
      <c r="F72" s="51">
        <f>TRUNC(SUM(F63,F65,F67,F69,F71),2)</f>
        <v>47.76</v>
      </c>
    </row>
    <row r="73" spans="1:8" ht="15.6" thickTop="1" thickBot="1" x14ac:dyDescent="0.35">
      <c r="A73" s="227" t="s">
        <v>182</v>
      </c>
      <c r="B73" s="228"/>
      <c r="C73" s="228"/>
      <c r="D73" s="228"/>
      <c r="E73" s="228"/>
      <c r="F73" s="229"/>
    </row>
    <row r="74" spans="1:8" ht="15.6" thickTop="1" thickBot="1" x14ac:dyDescent="0.35">
      <c r="A74" s="8" t="s">
        <v>183</v>
      </c>
      <c r="B74" s="212" t="s">
        <v>184</v>
      </c>
      <c r="C74" s="213"/>
      <c r="D74" s="213"/>
      <c r="E74" s="214"/>
      <c r="F74" s="8" t="s">
        <v>134</v>
      </c>
      <c r="H74" s="1"/>
    </row>
    <row r="75" spans="1:8" ht="15.6" thickTop="1" thickBot="1" x14ac:dyDescent="0.35">
      <c r="A75" s="10" t="s">
        <v>152</v>
      </c>
      <c r="B75" s="215" t="s">
        <v>185</v>
      </c>
      <c r="C75" s="216"/>
      <c r="D75" s="216"/>
      <c r="E75" s="217"/>
      <c r="F75" s="11">
        <f>$F$48</f>
        <v>528.82000000000005</v>
      </c>
    </row>
    <row r="76" spans="1:8" ht="15.6" thickTop="1" thickBot="1" x14ac:dyDescent="0.35">
      <c r="A76" s="8" t="s">
        <v>159</v>
      </c>
      <c r="B76" s="212" t="s">
        <v>186</v>
      </c>
      <c r="C76" s="213"/>
      <c r="D76" s="213"/>
      <c r="E76" s="214"/>
      <c r="F76" s="12">
        <f>$F$59</f>
        <v>1946.77</v>
      </c>
    </row>
    <row r="77" spans="1:8" ht="15.6" thickTop="1" thickBot="1" x14ac:dyDescent="0.35">
      <c r="A77" s="10" t="s">
        <v>172</v>
      </c>
      <c r="B77" s="215" t="s">
        <v>173</v>
      </c>
      <c r="C77" s="216"/>
      <c r="D77" s="216"/>
      <c r="E77" s="217"/>
      <c r="F77" s="11">
        <f>$F$72</f>
        <v>47.76</v>
      </c>
    </row>
    <row r="78" spans="1:8" ht="15.6" thickTop="1" thickBot="1" x14ac:dyDescent="0.35">
      <c r="A78" s="180" t="s">
        <v>187</v>
      </c>
      <c r="B78" s="181"/>
      <c r="C78" s="181"/>
      <c r="D78" s="181"/>
      <c r="E78" s="182"/>
      <c r="F78" s="13">
        <f>TRUNC(SUM(F75:F77),2)</f>
        <v>2523.35</v>
      </c>
    </row>
    <row r="79" spans="1:8" ht="15.6" thickTop="1" thickBot="1" x14ac:dyDescent="0.35">
      <c r="A79" s="177"/>
      <c r="B79" s="178"/>
      <c r="C79" s="178"/>
      <c r="D79" s="178"/>
      <c r="E79" s="178"/>
      <c r="F79" s="179"/>
    </row>
    <row r="80" spans="1:8" ht="15.6" thickTop="1" thickBot="1" x14ac:dyDescent="0.35">
      <c r="A80" s="180" t="s">
        <v>188</v>
      </c>
      <c r="B80" s="181"/>
      <c r="C80" s="181"/>
      <c r="D80" s="181"/>
      <c r="E80" s="181"/>
      <c r="F80" s="182"/>
    </row>
    <row r="81" spans="1:6" ht="15.6" thickTop="1" thickBot="1" x14ac:dyDescent="0.35">
      <c r="A81" s="8">
        <v>3</v>
      </c>
      <c r="B81" s="212" t="s">
        <v>189</v>
      </c>
      <c r="C81" s="213"/>
      <c r="D81" s="214"/>
      <c r="E81" s="9" t="s">
        <v>154</v>
      </c>
      <c r="F81" s="9" t="s">
        <v>134</v>
      </c>
    </row>
    <row r="82" spans="1:6" ht="15.6" thickTop="1" thickBot="1" x14ac:dyDescent="0.35">
      <c r="A82" s="42" t="s">
        <v>135</v>
      </c>
      <c r="B82" s="230" t="s">
        <v>190</v>
      </c>
      <c r="C82" s="230"/>
      <c r="D82" s="230"/>
      <c r="E82" s="104">
        <f>(56.24%)*5.55%*(1/12)</f>
        <v>2.6010999999999999E-3</v>
      </c>
      <c r="F82" s="44">
        <f>TRUNC((($F$41+$F$48)*E82),2)</f>
        <v>13.76</v>
      </c>
    </row>
    <row r="83" spans="1:6" ht="15.6" thickTop="1" thickBot="1" x14ac:dyDescent="0.35">
      <c r="A83" s="45" t="s">
        <v>137</v>
      </c>
      <c r="B83" s="239" t="s">
        <v>319</v>
      </c>
      <c r="C83" s="240"/>
      <c r="D83" s="241"/>
      <c r="E83" s="105">
        <f>(8%*0.29%)</f>
        <v>2.32E-4</v>
      </c>
      <c r="F83" s="52">
        <f>TRUNC((($F$41+$F$48)*E83),2)</f>
        <v>1.22</v>
      </c>
    </row>
    <row r="84" spans="1:6" ht="15.6" thickTop="1" thickBot="1" x14ac:dyDescent="0.35">
      <c r="A84" s="42" t="s">
        <v>139</v>
      </c>
      <c r="B84" s="242" t="s">
        <v>320</v>
      </c>
      <c r="C84" s="243"/>
      <c r="D84" s="244"/>
      <c r="E84" s="104">
        <f>(56.24%)*5.55%*40%*8%</f>
        <v>9.9882240000000004E-4</v>
      </c>
      <c r="F84" s="44">
        <f>TRUNC((($F$41+$F$48)*E84),2)</f>
        <v>5.28</v>
      </c>
    </row>
    <row r="85" spans="1:6" ht="15.6" thickTop="1" thickBot="1" x14ac:dyDescent="0.35">
      <c r="A85" s="45" t="s">
        <v>141</v>
      </c>
      <c r="B85" s="231" t="s">
        <v>191</v>
      </c>
      <c r="C85" s="231"/>
      <c r="D85" s="231"/>
      <c r="E85" s="105">
        <f>((56.24%)*94.45%*(7/30)/12)</f>
        <v>1.0328632222222222E-2</v>
      </c>
      <c r="F85" s="52">
        <f>TRUNC((($F$41+$F$48)*E85),2)</f>
        <v>54.64</v>
      </c>
    </row>
    <row r="86" spans="1:6" ht="15.6" thickTop="1" thickBot="1" x14ac:dyDescent="0.35">
      <c r="A86" s="44" t="s">
        <v>143</v>
      </c>
      <c r="B86" s="245" t="s">
        <v>317</v>
      </c>
      <c r="C86" s="246"/>
      <c r="D86" s="247"/>
      <c r="E86" s="104">
        <f>1.03%*36.8%</f>
        <v>3.7904000000000002E-3</v>
      </c>
      <c r="F86" s="44">
        <f>TRUNC((($F$41+$F$48)*E86),2)</f>
        <v>20.05</v>
      </c>
    </row>
    <row r="87" spans="1:6" ht="15.6" thickTop="1" thickBot="1" x14ac:dyDescent="0.35">
      <c r="A87" s="45" t="s">
        <v>145</v>
      </c>
      <c r="B87" s="239" t="s">
        <v>318</v>
      </c>
      <c r="C87" s="240"/>
      <c r="D87" s="241"/>
      <c r="E87" s="105">
        <f>(56.24%)*94.45%*40%*8%</f>
        <v>1.6997977600000002E-2</v>
      </c>
      <c r="F87" s="52">
        <f>TRUNC((($F$41+F48)*E87),2)</f>
        <v>89.92</v>
      </c>
    </row>
    <row r="88" spans="1:6" ht="15.6" thickTop="1" thickBot="1" x14ac:dyDescent="0.35">
      <c r="A88" s="180" t="s">
        <v>192</v>
      </c>
      <c r="B88" s="181"/>
      <c r="C88" s="181"/>
      <c r="D88" s="182"/>
      <c r="E88" s="16">
        <f>SUM(E82:E87)</f>
        <v>3.4948932222222229E-2</v>
      </c>
      <c r="F88" s="13">
        <f>TRUNC(SUM(F82:F87),2)</f>
        <v>184.87</v>
      </c>
    </row>
    <row r="89" spans="1:6" ht="15.6" thickTop="1" thickBot="1" x14ac:dyDescent="0.35">
      <c r="A89" s="177"/>
      <c r="B89" s="178"/>
      <c r="C89" s="178"/>
      <c r="D89" s="178"/>
      <c r="E89" s="178"/>
      <c r="F89" s="179"/>
    </row>
    <row r="90" spans="1:6" ht="15.6" thickTop="1" thickBot="1" x14ac:dyDescent="0.35">
      <c r="A90" s="180" t="s">
        <v>193</v>
      </c>
      <c r="B90" s="181"/>
      <c r="C90" s="181"/>
      <c r="D90" s="181"/>
      <c r="E90" s="181"/>
      <c r="F90" s="182"/>
    </row>
    <row r="91" spans="1:6" ht="15.6" thickTop="1" thickBot="1" x14ac:dyDescent="0.35">
      <c r="A91" s="227" t="s">
        <v>194</v>
      </c>
      <c r="B91" s="228"/>
      <c r="C91" s="228"/>
      <c r="D91" s="228"/>
      <c r="E91" s="228"/>
      <c r="F91" s="229"/>
    </row>
    <row r="92" spans="1:6" ht="15.6" thickTop="1" thickBot="1" x14ac:dyDescent="0.35">
      <c r="A92" s="8" t="s">
        <v>195</v>
      </c>
      <c r="B92" s="212" t="s">
        <v>196</v>
      </c>
      <c r="C92" s="213"/>
      <c r="D92" s="214"/>
      <c r="E92" s="9" t="s">
        <v>154</v>
      </c>
      <c r="F92" s="9" t="s">
        <v>134</v>
      </c>
    </row>
    <row r="93" spans="1:6" ht="15.6" thickTop="1" thickBot="1" x14ac:dyDescent="0.35">
      <c r="A93" s="42" t="s">
        <v>135</v>
      </c>
      <c r="B93" s="230" t="s">
        <v>197</v>
      </c>
      <c r="C93" s="230"/>
      <c r="D93" s="230"/>
      <c r="E93" s="48"/>
      <c r="F93" s="53">
        <f t="shared" ref="F93:F98" si="1">TRUNC((($F$41+$F$78)*E93),2)</f>
        <v>0</v>
      </c>
    </row>
    <row r="94" spans="1:6" ht="15.6" thickTop="1" thickBot="1" x14ac:dyDescent="0.35">
      <c r="A94" s="45" t="s">
        <v>137</v>
      </c>
      <c r="B94" s="231" t="s">
        <v>198</v>
      </c>
      <c r="C94" s="231"/>
      <c r="D94" s="231"/>
      <c r="E94" s="105">
        <f>(8/30)/12</f>
        <v>2.2222222222222223E-2</v>
      </c>
      <c r="F94" s="52">
        <f t="shared" si="1"/>
        <v>161.88</v>
      </c>
    </row>
    <row r="95" spans="1:6" ht="15.6" thickTop="1" thickBot="1" x14ac:dyDescent="0.35">
      <c r="A95" s="42" t="s">
        <v>139</v>
      </c>
      <c r="B95" s="230" t="s">
        <v>199</v>
      </c>
      <c r="C95" s="230"/>
      <c r="D95" s="230"/>
      <c r="E95" s="104">
        <f>(((20/30)/12)*1.416%*45.22%)</f>
        <v>3.557306666666666E-4</v>
      </c>
      <c r="F95" s="53">
        <f t="shared" si="1"/>
        <v>2.59</v>
      </c>
    </row>
    <row r="96" spans="1:6" ht="15.6" thickTop="1" thickBot="1" x14ac:dyDescent="0.35">
      <c r="A96" s="45" t="s">
        <v>141</v>
      </c>
      <c r="B96" s="231" t="s">
        <v>200</v>
      </c>
      <c r="C96" s="231"/>
      <c r="D96" s="231"/>
      <c r="E96" s="105">
        <f>((15/30)/12)*0.44%</f>
        <v>1.8333333333333334E-4</v>
      </c>
      <c r="F96" s="52">
        <f t="shared" si="1"/>
        <v>1.33</v>
      </c>
    </row>
    <row r="97" spans="1:6" ht="15.6" thickTop="1" thickBot="1" x14ac:dyDescent="0.35">
      <c r="A97" s="42" t="s">
        <v>143</v>
      </c>
      <c r="B97" s="230" t="s">
        <v>201</v>
      </c>
      <c r="C97" s="230"/>
      <c r="D97" s="230"/>
      <c r="E97" s="104">
        <f>(((180/30)/12*1.416%*54.78%*36.8%))</f>
        <v>1.4272600319999999E-3</v>
      </c>
      <c r="F97" s="53">
        <f t="shared" si="1"/>
        <v>10.39</v>
      </c>
    </row>
    <row r="98" spans="1:6" ht="15.6" thickTop="1" thickBot="1" x14ac:dyDescent="0.35">
      <c r="A98" s="45" t="s">
        <v>145</v>
      </c>
      <c r="B98" s="231" t="s">
        <v>202</v>
      </c>
      <c r="C98" s="231"/>
      <c r="D98" s="231"/>
      <c r="E98" s="105">
        <v>0</v>
      </c>
      <c r="F98" s="52">
        <f t="shared" si="1"/>
        <v>0</v>
      </c>
    </row>
    <row r="99" spans="1:6" ht="15.6" thickTop="1" thickBot="1" x14ac:dyDescent="0.35">
      <c r="A99" s="180" t="s">
        <v>203</v>
      </c>
      <c r="B99" s="181"/>
      <c r="C99" s="181"/>
      <c r="D99" s="182"/>
      <c r="E99" s="16">
        <f>SUM(E93:E98)</f>
        <v>2.4188546254222225E-2</v>
      </c>
      <c r="F99" s="13">
        <f>TRUNC(SUM(F93:F98),2)</f>
        <v>176.19</v>
      </c>
    </row>
    <row r="100" spans="1:6" ht="15.6" thickTop="1" thickBot="1" x14ac:dyDescent="0.35">
      <c r="A100" s="227" t="s">
        <v>204</v>
      </c>
      <c r="B100" s="228"/>
      <c r="C100" s="228"/>
      <c r="D100" s="228"/>
      <c r="E100" s="228"/>
      <c r="F100" s="229"/>
    </row>
    <row r="101" spans="1:6" ht="15.6" thickTop="1" thickBot="1" x14ac:dyDescent="0.35">
      <c r="A101" s="8" t="s">
        <v>205</v>
      </c>
      <c r="B101" s="212" t="s">
        <v>206</v>
      </c>
      <c r="C101" s="213"/>
      <c r="D101" s="214"/>
      <c r="E101" s="9" t="s">
        <v>154</v>
      </c>
      <c r="F101" s="9" t="s">
        <v>134</v>
      </c>
    </row>
    <row r="102" spans="1:6" ht="15.6" thickTop="1" thickBot="1" x14ac:dyDescent="0.35">
      <c r="A102" s="42" t="s">
        <v>135</v>
      </c>
      <c r="B102" s="230" t="s">
        <v>207</v>
      </c>
      <c r="C102" s="230"/>
      <c r="D102" s="230"/>
      <c r="E102" s="54" t="s">
        <v>208</v>
      </c>
      <c r="F102" s="44">
        <v>0</v>
      </c>
    </row>
    <row r="103" spans="1:6" ht="15.6" thickTop="1" thickBot="1" x14ac:dyDescent="0.35">
      <c r="A103" s="227" t="s">
        <v>209</v>
      </c>
      <c r="B103" s="228"/>
      <c r="C103" s="228"/>
      <c r="D103" s="228"/>
      <c r="E103" s="228"/>
      <c r="F103" s="248"/>
    </row>
    <row r="104" spans="1:6" ht="15.6" thickTop="1" thickBot="1" x14ac:dyDescent="0.35">
      <c r="A104" s="8" t="s">
        <v>210</v>
      </c>
      <c r="B104" s="212" t="s">
        <v>211</v>
      </c>
      <c r="C104" s="213"/>
      <c r="D104" s="213"/>
      <c r="E104" s="214"/>
      <c r="F104" s="9" t="s">
        <v>134</v>
      </c>
    </row>
    <row r="105" spans="1:6" ht="15.6" thickTop="1" thickBot="1" x14ac:dyDescent="0.35">
      <c r="A105" s="10" t="s">
        <v>195</v>
      </c>
      <c r="B105" s="215" t="s">
        <v>196</v>
      </c>
      <c r="C105" s="216"/>
      <c r="D105" s="216"/>
      <c r="E105" s="217"/>
      <c r="F105" s="11">
        <f>$F$99</f>
        <v>176.19</v>
      </c>
    </row>
    <row r="106" spans="1:6" ht="15.6" thickTop="1" thickBot="1" x14ac:dyDescent="0.35">
      <c r="A106" s="8" t="s">
        <v>205</v>
      </c>
      <c r="B106" s="212" t="s">
        <v>206</v>
      </c>
      <c r="C106" s="213"/>
      <c r="D106" s="213"/>
      <c r="E106" s="214"/>
      <c r="F106" s="12">
        <v>0</v>
      </c>
    </row>
    <row r="107" spans="1:6" ht="15.6" thickTop="1" thickBot="1" x14ac:dyDescent="0.35">
      <c r="A107" s="180" t="s">
        <v>212</v>
      </c>
      <c r="B107" s="181"/>
      <c r="C107" s="181"/>
      <c r="D107" s="181"/>
      <c r="E107" s="182"/>
      <c r="F107" s="13">
        <f>TRUNC(SUM(F105+F106),2)</f>
        <v>176.19</v>
      </c>
    </row>
    <row r="108" spans="1:6" ht="15.6" thickTop="1" thickBot="1" x14ac:dyDescent="0.35">
      <c r="A108" s="177"/>
      <c r="B108" s="178"/>
      <c r="C108" s="178"/>
      <c r="D108" s="178"/>
      <c r="E108" s="178"/>
      <c r="F108" s="179"/>
    </row>
    <row r="109" spans="1:6" ht="15.6" thickTop="1" thickBot="1" x14ac:dyDescent="0.35">
      <c r="A109" s="180" t="s">
        <v>213</v>
      </c>
      <c r="B109" s="181"/>
      <c r="C109" s="181"/>
      <c r="D109" s="181"/>
      <c r="E109" s="181"/>
      <c r="F109" s="182"/>
    </row>
    <row r="110" spans="1:6" ht="15.6" thickTop="1" thickBot="1" x14ac:dyDescent="0.35">
      <c r="A110" s="8">
        <v>5</v>
      </c>
      <c r="B110" s="212" t="s">
        <v>214</v>
      </c>
      <c r="C110" s="213"/>
      <c r="D110" s="213"/>
      <c r="E110" s="214"/>
      <c r="F110" s="9" t="s">
        <v>134</v>
      </c>
    </row>
    <row r="111" spans="1:6" ht="15.6" thickTop="1" thickBot="1" x14ac:dyDescent="0.35">
      <c r="A111" s="10" t="s">
        <v>135</v>
      </c>
      <c r="B111" s="215" t="s">
        <v>9</v>
      </c>
      <c r="C111" s="216"/>
      <c r="D111" s="216"/>
      <c r="E111" s="217"/>
      <c r="F111" s="11">
        <f>Unif!I9</f>
        <v>93.18</v>
      </c>
    </row>
    <row r="112" spans="1:6" ht="15.6" thickTop="1" thickBot="1" x14ac:dyDescent="0.35">
      <c r="A112" s="8" t="s">
        <v>137</v>
      </c>
      <c r="B112" s="212" t="s">
        <v>215</v>
      </c>
      <c r="C112" s="213"/>
      <c r="D112" s="213"/>
      <c r="E112" s="214"/>
      <c r="F112" s="12">
        <v>0</v>
      </c>
    </row>
    <row r="113" spans="1:6" ht="15.6" thickTop="1" thickBot="1" x14ac:dyDescent="0.35">
      <c r="A113" s="10" t="s">
        <v>139</v>
      </c>
      <c r="B113" s="215" t="s">
        <v>216</v>
      </c>
      <c r="C113" s="216"/>
      <c r="D113" s="216"/>
      <c r="E113" s="217"/>
      <c r="F113" s="11"/>
    </row>
    <row r="114" spans="1:6" ht="15.6" thickTop="1" thickBot="1" x14ac:dyDescent="0.35">
      <c r="A114" s="8" t="s">
        <v>141</v>
      </c>
      <c r="B114" s="212" t="s">
        <v>217</v>
      </c>
      <c r="C114" s="213"/>
      <c r="D114" s="213"/>
      <c r="E114" s="214"/>
      <c r="F114" s="12">
        <f>EPIs!F15</f>
        <v>36.08</v>
      </c>
    </row>
    <row r="115" spans="1:6" ht="15.6" thickTop="1" thickBot="1" x14ac:dyDescent="0.35">
      <c r="A115" s="180" t="s">
        <v>218</v>
      </c>
      <c r="B115" s="181"/>
      <c r="C115" s="181"/>
      <c r="D115" s="181"/>
      <c r="E115" s="182"/>
      <c r="F115" s="13">
        <f>TRUNC(SUM(F111:F114),2)</f>
        <v>129.26</v>
      </c>
    </row>
    <row r="116" spans="1:6" ht="15.6" thickTop="1" thickBot="1" x14ac:dyDescent="0.35">
      <c r="A116" s="177"/>
      <c r="B116" s="178"/>
      <c r="C116" s="178"/>
      <c r="D116" s="178"/>
      <c r="E116" s="178"/>
      <c r="F116" s="179"/>
    </row>
    <row r="117" spans="1:6" ht="15.6" thickTop="1" thickBot="1" x14ac:dyDescent="0.35">
      <c r="A117" s="180" t="s">
        <v>219</v>
      </c>
      <c r="B117" s="181"/>
      <c r="C117" s="181"/>
      <c r="D117" s="181"/>
      <c r="E117" s="181"/>
      <c r="F117" s="182"/>
    </row>
    <row r="118" spans="1:6" ht="15.6" thickTop="1" thickBot="1" x14ac:dyDescent="0.35">
      <c r="A118" s="183" t="s">
        <v>220</v>
      </c>
      <c r="B118" s="208"/>
      <c r="C118" s="208"/>
      <c r="D118" s="184"/>
      <c r="E118" s="9" t="s">
        <v>154</v>
      </c>
      <c r="F118" s="55" t="s">
        <v>134</v>
      </c>
    </row>
    <row r="119" spans="1:6" ht="15.6" thickTop="1" thickBot="1" x14ac:dyDescent="0.35">
      <c r="A119" s="10" t="s">
        <v>135</v>
      </c>
      <c r="B119" s="215" t="s">
        <v>221</v>
      </c>
      <c r="C119" s="216"/>
      <c r="D119" s="217"/>
      <c r="E119" s="14">
        <f>'Salários.VA.VT.QteDias.LDI.T'!$D$46</f>
        <v>4.7300000000000002E-2</v>
      </c>
      <c r="F119" s="44">
        <f>TRUNC(($F$134*$E$119),2)</f>
        <v>367.76</v>
      </c>
    </row>
    <row r="120" spans="1:6" ht="15.6" thickTop="1" thickBot="1" x14ac:dyDescent="0.35">
      <c r="A120" s="8" t="s">
        <v>137</v>
      </c>
      <c r="B120" s="212" t="s">
        <v>222</v>
      </c>
      <c r="C120" s="213"/>
      <c r="D120" s="214"/>
      <c r="E120" s="15">
        <f>'Salários.VA.VT.QteDias.LDI.T'!$D$47</f>
        <v>5.57E-2</v>
      </c>
      <c r="F120" s="47">
        <f>TRUNC((($F$134+$F$119)*E120),2)</f>
        <v>453.55</v>
      </c>
    </row>
    <row r="121" spans="1:6" ht="15.6" thickTop="1" thickBot="1" x14ac:dyDescent="0.35">
      <c r="A121" s="188" t="s">
        <v>223</v>
      </c>
      <c r="B121" s="202"/>
      <c r="C121" s="202"/>
      <c r="D121" s="189"/>
      <c r="E121" s="18" t="s">
        <v>154</v>
      </c>
      <c r="F121" s="56" t="s">
        <v>134</v>
      </c>
    </row>
    <row r="122" spans="1:6" ht="15.6" thickTop="1" thickBot="1" x14ac:dyDescent="0.35">
      <c r="A122" s="8" t="s">
        <v>135</v>
      </c>
      <c r="B122" s="212" t="s">
        <v>84</v>
      </c>
      <c r="C122" s="213"/>
      <c r="D122" s="214"/>
      <c r="E122" s="106">
        <v>6.4999999999999997E-3</v>
      </c>
      <c r="F122" s="47">
        <f>TRUNC(((($F$134+$F$119+$F$120)/0.9135)*E122),2)</f>
        <v>61.16</v>
      </c>
    </row>
    <row r="123" spans="1:6" ht="15.6" thickTop="1" thickBot="1" x14ac:dyDescent="0.35">
      <c r="A123" s="19" t="s">
        <v>137</v>
      </c>
      <c r="B123" s="224" t="s">
        <v>224</v>
      </c>
      <c r="C123" s="225"/>
      <c r="D123" s="226"/>
      <c r="E123" s="106">
        <v>0.03</v>
      </c>
      <c r="F123" s="57">
        <f>TRUNC(((($F$134+$F$119+$F$120)/0.9135)*E123),2)</f>
        <v>282.31</v>
      </c>
    </row>
    <row r="124" spans="1:6" ht="15.6" thickTop="1" thickBot="1" x14ac:dyDescent="0.35">
      <c r="A124" s="8" t="s">
        <v>139</v>
      </c>
      <c r="B124" s="212" t="s">
        <v>86</v>
      </c>
      <c r="C124" s="213"/>
      <c r="D124" s="214"/>
      <c r="E124" s="106">
        <v>0.05</v>
      </c>
      <c r="F124" s="47">
        <f>TRUNC(((($F$134+$F$119+$F$120)/0.9135)*E124),2)</f>
        <v>470.51</v>
      </c>
    </row>
    <row r="125" spans="1:6" ht="15.6" thickTop="1" thickBot="1" x14ac:dyDescent="0.35">
      <c r="A125" s="180" t="s">
        <v>225</v>
      </c>
      <c r="B125" s="181"/>
      <c r="C125" s="181"/>
      <c r="D125" s="182"/>
      <c r="E125" s="16">
        <f>SUM(E122:E124)</f>
        <v>8.6499999999999994E-2</v>
      </c>
      <c r="F125" s="13">
        <f>TRUNC(SUM($F$119,$F$120,$F$122,$F$123,$F$124),2)</f>
        <v>1635.29</v>
      </c>
    </row>
    <row r="126" spans="1:6" ht="15.6" thickTop="1" thickBot="1" x14ac:dyDescent="0.35">
      <c r="A126" s="177"/>
      <c r="B126" s="178"/>
      <c r="C126" s="178"/>
      <c r="D126" s="178"/>
      <c r="E126" s="178"/>
      <c r="F126" s="179"/>
    </row>
    <row r="127" spans="1:6" ht="15.6" thickTop="1" thickBot="1" x14ac:dyDescent="0.35">
      <c r="A127" s="249" t="s">
        <v>226</v>
      </c>
      <c r="B127" s="250"/>
      <c r="C127" s="250"/>
      <c r="D127" s="250"/>
      <c r="E127" s="250"/>
      <c r="F127" s="251"/>
    </row>
    <row r="128" spans="1:6" ht="15.6" thickTop="1" thickBot="1" x14ac:dyDescent="0.35">
      <c r="A128" s="227" t="s">
        <v>227</v>
      </c>
      <c r="B128" s="228"/>
      <c r="C128" s="228"/>
      <c r="D128" s="228"/>
      <c r="E128" s="229"/>
      <c r="F128" s="20" t="s">
        <v>134</v>
      </c>
    </row>
    <row r="129" spans="1:8" ht="15.6" thickTop="1" thickBot="1" x14ac:dyDescent="0.35">
      <c r="A129" s="8" t="s">
        <v>135</v>
      </c>
      <c r="B129" s="212" t="s">
        <v>228</v>
      </c>
      <c r="C129" s="213"/>
      <c r="D129" s="213"/>
      <c r="E129" s="214"/>
      <c r="F129" s="12">
        <f>$F$41</f>
        <v>4761.42</v>
      </c>
    </row>
    <row r="130" spans="1:8" ht="15.6" thickTop="1" thickBot="1" x14ac:dyDescent="0.35">
      <c r="A130" s="10" t="s">
        <v>137</v>
      </c>
      <c r="B130" s="215" t="s">
        <v>229</v>
      </c>
      <c r="C130" s="216"/>
      <c r="D130" s="216"/>
      <c r="E130" s="217"/>
      <c r="F130" s="11">
        <f>$F$78</f>
        <v>2523.35</v>
      </c>
    </row>
    <row r="131" spans="1:8" ht="15.6" thickTop="1" thickBot="1" x14ac:dyDescent="0.35">
      <c r="A131" s="8" t="s">
        <v>139</v>
      </c>
      <c r="B131" s="212" t="s">
        <v>230</v>
      </c>
      <c r="C131" s="213"/>
      <c r="D131" s="213"/>
      <c r="E131" s="214"/>
      <c r="F131" s="12">
        <f>$F$88</f>
        <v>184.87</v>
      </c>
    </row>
    <row r="132" spans="1:8" ht="15.6" thickTop="1" thickBot="1" x14ac:dyDescent="0.35">
      <c r="A132" s="10" t="s">
        <v>141</v>
      </c>
      <c r="B132" s="215" t="s">
        <v>231</v>
      </c>
      <c r="C132" s="216"/>
      <c r="D132" s="216"/>
      <c r="E132" s="217"/>
      <c r="F132" s="11">
        <f>$F$107</f>
        <v>176.19</v>
      </c>
    </row>
    <row r="133" spans="1:8" ht="15.6" thickTop="1" thickBot="1" x14ac:dyDescent="0.35">
      <c r="A133" s="8" t="s">
        <v>143</v>
      </c>
      <c r="B133" s="212" t="s">
        <v>232</v>
      </c>
      <c r="C133" s="213"/>
      <c r="D133" s="213"/>
      <c r="E133" s="214"/>
      <c r="F133" s="12">
        <f>$F$115</f>
        <v>129.26</v>
      </c>
    </row>
    <row r="134" spans="1:8" ht="15.6" thickTop="1" thickBot="1" x14ac:dyDescent="0.35">
      <c r="A134" s="236" t="s">
        <v>233</v>
      </c>
      <c r="B134" s="255"/>
      <c r="C134" s="255"/>
      <c r="D134" s="255"/>
      <c r="E134" s="237"/>
      <c r="F134" s="11">
        <f>TRUNC(SUM(F129:F133),2)</f>
        <v>7775.09</v>
      </c>
    </row>
    <row r="135" spans="1:8" ht="15.6" thickTop="1" thickBot="1" x14ac:dyDescent="0.35">
      <c r="A135" s="8" t="s">
        <v>145</v>
      </c>
      <c r="B135" s="221" t="s">
        <v>234</v>
      </c>
      <c r="C135" s="222"/>
      <c r="D135" s="222"/>
      <c r="E135" s="223"/>
      <c r="F135" s="12">
        <f>TRUNC(($F$125),2)</f>
        <v>1635.29</v>
      </c>
    </row>
    <row r="136" spans="1:8" ht="16.5" customHeight="1" thickTop="1" thickBot="1" x14ac:dyDescent="0.35">
      <c r="A136" s="236" t="s">
        <v>235</v>
      </c>
      <c r="B136" s="255"/>
      <c r="C136" s="255"/>
      <c r="D136" s="255"/>
      <c r="E136" s="237"/>
      <c r="F136" s="11">
        <f>TRUNC(($F$134 + $F$135),2)</f>
        <v>9410.3799999999992</v>
      </c>
    </row>
    <row r="137" spans="1:8" ht="16.5" customHeight="1" thickTop="1" thickBot="1" x14ac:dyDescent="0.35">
      <c r="A137" s="177"/>
      <c r="B137" s="178"/>
      <c r="C137" s="178"/>
      <c r="D137" s="178"/>
      <c r="E137" s="178"/>
      <c r="F137" s="179"/>
      <c r="H137" s="1"/>
    </row>
    <row r="138" spans="1:8" ht="15.6" thickTop="1" thickBot="1" x14ac:dyDescent="0.35">
      <c r="A138" s="252" t="s">
        <v>236</v>
      </c>
      <c r="B138" s="253"/>
      <c r="C138" s="253"/>
      <c r="D138" s="253"/>
      <c r="E138" s="253"/>
      <c r="F138" s="254"/>
    </row>
    <row r="139" spans="1:8" ht="21.6" thickTop="1" thickBot="1" x14ac:dyDescent="0.35">
      <c r="A139" s="21" t="s">
        <v>237</v>
      </c>
      <c r="B139" s="22" t="s">
        <v>238</v>
      </c>
      <c r="C139" s="22" t="s">
        <v>28</v>
      </c>
      <c r="D139" s="22" t="s">
        <v>239</v>
      </c>
      <c r="E139" s="22" t="s">
        <v>240</v>
      </c>
      <c r="F139" s="22" t="s">
        <v>241</v>
      </c>
    </row>
    <row r="140" spans="1:8" ht="21.6" thickTop="1" thickBot="1" x14ac:dyDescent="0.35">
      <c r="A140" s="23" t="str">
        <f>$C$26</f>
        <v>Marinheiro Fluvial Regional do Convés</v>
      </c>
      <c r="B140" s="24">
        <f>$F$136</f>
        <v>9410.3799999999992</v>
      </c>
      <c r="C140" s="23">
        <f>$C$22</f>
        <v>1</v>
      </c>
      <c r="D140" s="23">
        <f>$C$18</f>
        <v>12</v>
      </c>
      <c r="E140" s="24">
        <f>TRUNC(($B$140 * $C$140),2)</f>
        <v>9410.3799999999992</v>
      </c>
      <c r="F140" s="24">
        <f>TRUNC(($D$140 * $E$140),2)</f>
        <v>112924.56</v>
      </c>
    </row>
    <row r="141" spans="1:8" ht="33" customHeight="1" thickTop="1" thickBot="1" x14ac:dyDescent="0.35">
      <c r="A141" s="25"/>
      <c r="B141" s="25"/>
      <c r="C141" s="25"/>
      <c r="D141" s="25"/>
      <c r="E141" s="25"/>
      <c r="F141" s="25"/>
    </row>
    <row r="142" spans="1:8" ht="15.6" thickTop="1" thickBot="1" x14ac:dyDescent="0.35">
      <c r="A142" s="252" t="s">
        <v>242</v>
      </c>
      <c r="B142" s="253"/>
      <c r="C142" s="253"/>
      <c r="D142" s="253"/>
      <c r="E142" s="253"/>
      <c r="F142" s="254"/>
    </row>
    <row r="143" spans="1:8" ht="15.6" thickTop="1" thickBot="1" x14ac:dyDescent="0.35">
      <c r="A143" s="21" t="s">
        <v>237</v>
      </c>
      <c r="B143" s="22" t="s">
        <v>238</v>
      </c>
      <c r="C143" s="22" t="s">
        <v>243</v>
      </c>
      <c r="D143" s="22" t="s">
        <v>244</v>
      </c>
      <c r="E143" s="22" t="s">
        <v>99</v>
      </c>
      <c r="F143" s="22" t="s">
        <v>245</v>
      </c>
    </row>
    <row r="144" spans="1:8" ht="21.6" thickTop="1" thickBot="1" x14ac:dyDescent="0.35">
      <c r="A144" s="23" t="str">
        <f>$C$26</f>
        <v>Marinheiro Fluvial Regional do Convés</v>
      </c>
      <c r="B144" s="24">
        <f>$F$136</f>
        <v>9410.3799999999992</v>
      </c>
      <c r="C144" s="23">
        <v>2</v>
      </c>
      <c r="D144" s="26">
        <f>TRUNC(($E$140/30),2)</f>
        <v>313.67</v>
      </c>
      <c r="E144" s="24">
        <f>TRUNC(($C$144 * $D$144),2)</f>
        <v>627.34</v>
      </c>
      <c r="F144" s="24">
        <f>TRUNC(($E$144 * 12),2)</f>
        <v>7528.08</v>
      </c>
    </row>
    <row r="145" spans="1:6" ht="15" thickTop="1" x14ac:dyDescent="0.3">
      <c r="A145" s="4"/>
      <c r="B145" s="4"/>
      <c r="C145" s="4"/>
      <c r="D145" s="4"/>
      <c r="E145" s="4"/>
      <c r="F145" s="4"/>
    </row>
    <row r="146" spans="1:6" x14ac:dyDescent="0.3">
      <c r="A146" s="4"/>
      <c r="B146" s="4"/>
      <c r="C146" s="4"/>
      <c r="D146" s="4"/>
      <c r="E146" s="4"/>
      <c r="F146" s="4"/>
    </row>
    <row r="147" spans="1:6" x14ac:dyDescent="0.3">
      <c r="A147" s="4"/>
      <c r="B147" s="4"/>
      <c r="C147" s="4"/>
      <c r="D147" s="4"/>
      <c r="E147" s="4"/>
      <c r="F147" s="4"/>
    </row>
    <row r="148" spans="1:6" x14ac:dyDescent="0.3">
      <c r="A148" s="4"/>
      <c r="B148" s="4"/>
      <c r="C148" s="4"/>
      <c r="D148" s="4"/>
      <c r="E148" s="4"/>
      <c r="F148" s="4"/>
    </row>
    <row r="149" spans="1:6" x14ac:dyDescent="0.3">
      <c r="A149" s="4"/>
      <c r="B149" s="4"/>
      <c r="C149" s="4"/>
      <c r="D149" s="4"/>
      <c r="E149" s="4"/>
      <c r="F149" s="4"/>
    </row>
    <row r="150" spans="1:6" x14ac:dyDescent="0.3">
      <c r="A150" s="4"/>
      <c r="B150" s="4"/>
      <c r="C150" s="27"/>
      <c r="D150" s="4"/>
      <c r="E150" s="4"/>
      <c r="F150" s="4"/>
    </row>
    <row r="151" spans="1:6" x14ac:dyDescent="0.3">
      <c r="A151" s="4"/>
      <c r="B151" s="4"/>
      <c r="C151" s="4"/>
      <c r="D151" s="4"/>
      <c r="E151" s="4"/>
      <c r="F151" s="4"/>
    </row>
  </sheetData>
  <sheetProtection sheet="1" objects="1" scenarios="1"/>
  <protectedRanges>
    <protectedRange sqref="C10:F10 C13:F13 C15:F15 C16:F16 C17:F17 C28:F28 C30:F30 F35:F40" name="Intervalo1"/>
    <protectedRange sqref="E53 F67 F69 F71 E82:E87 E94:E98 E122:E124" name="Intervalo2"/>
  </protectedRanges>
  <mergeCells count="147">
    <mergeCell ref="A142:F142"/>
    <mergeCell ref="A137:F137"/>
    <mergeCell ref="A138:F138"/>
    <mergeCell ref="B131:E131"/>
    <mergeCell ref="B132:E132"/>
    <mergeCell ref="B133:E133"/>
    <mergeCell ref="A134:E134"/>
    <mergeCell ref="B135:E135"/>
    <mergeCell ref="A136:E136"/>
    <mergeCell ref="A125:D125"/>
    <mergeCell ref="A126:F126"/>
    <mergeCell ref="A127:F127"/>
    <mergeCell ref="A128:E128"/>
    <mergeCell ref="B129:E129"/>
    <mergeCell ref="B130:E130"/>
    <mergeCell ref="B119:D119"/>
    <mergeCell ref="B120:D120"/>
    <mergeCell ref="A121:D121"/>
    <mergeCell ref="B122:D122"/>
    <mergeCell ref="B123:D123"/>
    <mergeCell ref="B124:D124"/>
    <mergeCell ref="B113:E113"/>
    <mergeCell ref="B114:E114"/>
    <mergeCell ref="A115:E115"/>
    <mergeCell ref="A116:F116"/>
    <mergeCell ref="A117:F117"/>
    <mergeCell ref="A118:D118"/>
    <mergeCell ref="A107:E107"/>
    <mergeCell ref="A108:F108"/>
    <mergeCell ref="A109:F109"/>
    <mergeCell ref="B110:E110"/>
    <mergeCell ref="B111:E111"/>
    <mergeCell ref="B112:E112"/>
    <mergeCell ref="B101:D101"/>
    <mergeCell ref="B102:D102"/>
    <mergeCell ref="A103:F103"/>
    <mergeCell ref="B104:E104"/>
    <mergeCell ref="B105:E105"/>
    <mergeCell ref="B106:E106"/>
    <mergeCell ref="B95:D95"/>
    <mergeCell ref="B96:D96"/>
    <mergeCell ref="B97:D97"/>
    <mergeCell ref="B98:D98"/>
    <mergeCell ref="A99:D99"/>
    <mergeCell ref="A100:F100"/>
    <mergeCell ref="A89:F89"/>
    <mergeCell ref="A90:F90"/>
    <mergeCell ref="A91:F91"/>
    <mergeCell ref="B92:D92"/>
    <mergeCell ref="B93:D93"/>
    <mergeCell ref="B94:D94"/>
    <mergeCell ref="A80:F80"/>
    <mergeCell ref="B81:D81"/>
    <mergeCell ref="B82:D82"/>
    <mergeCell ref="B83:D83"/>
    <mergeCell ref="B87:D87"/>
    <mergeCell ref="A88:D88"/>
    <mergeCell ref="B84:D84"/>
    <mergeCell ref="B85:D85"/>
    <mergeCell ref="B86:D86"/>
    <mergeCell ref="B74:E74"/>
    <mergeCell ref="B75:E75"/>
    <mergeCell ref="B76:E76"/>
    <mergeCell ref="B77:E77"/>
    <mergeCell ref="A78:E78"/>
    <mergeCell ref="A79:F79"/>
    <mergeCell ref="A68:A69"/>
    <mergeCell ref="B68:E69"/>
    <mergeCell ref="A70:A71"/>
    <mergeCell ref="B70:E71"/>
    <mergeCell ref="A72:E72"/>
    <mergeCell ref="A73:F73"/>
    <mergeCell ref="B61:F61"/>
    <mergeCell ref="A62:A63"/>
    <mergeCell ref="A64:A65"/>
    <mergeCell ref="A66:A67"/>
    <mergeCell ref="B66:E67"/>
    <mergeCell ref="B55:D55"/>
    <mergeCell ref="B56:D56"/>
    <mergeCell ref="B57:D57"/>
    <mergeCell ref="B58:D58"/>
    <mergeCell ref="A59:D59"/>
    <mergeCell ref="A60:F60"/>
    <mergeCell ref="B64:C64"/>
    <mergeCell ref="B65:C65"/>
    <mergeCell ref="A49:F49"/>
    <mergeCell ref="B50:D50"/>
    <mergeCell ref="B51:D51"/>
    <mergeCell ref="B52:D52"/>
    <mergeCell ref="B53:D53"/>
    <mergeCell ref="B54:D54"/>
    <mergeCell ref="A43:F43"/>
    <mergeCell ref="A44:F44"/>
    <mergeCell ref="B45:D45"/>
    <mergeCell ref="B46:D46"/>
    <mergeCell ref="B47:D47"/>
    <mergeCell ref="A48:D48"/>
    <mergeCell ref="B37:E37"/>
    <mergeCell ref="B38:E38"/>
    <mergeCell ref="B39:E39"/>
    <mergeCell ref="B40:E40"/>
    <mergeCell ref="A41:E41"/>
    <mergeCell ref="A42:F42"/>
    <mergeCell ref="A31:F31"/>
    <mergeCell ref="A32:F32"/>
    <mergeCell ref="B33:E33"/>
    <mergeCell ref="B34:E34"/>
    <mergeCell ref="B35:E35"/>
    <mergeCell ref="B36:E36"/>
    <mergeCell ref="A23:F23"/>
    <mergeCell ref="A19:F19"/>
    <mergeCell ref="A20:F20"/>
    <mergeCell ref="A21:B21"/>
    <mergeCell ref="C21:F21"/>
    <mergeCell ref="A22:B22"/>
    <mergeCell ref="C22:F22"/>
    <mergeCell ref="A18:B18"/>
    <mergeCell ref="C18:F18"/>
    <mergeCell ref="A28:B28"/>
    <mergeCell ref="C28:F28"/>
    <mergeCell ref="A29:B29"/>
    <mergeCell ref="C29:F29"/>
    <mergeCell ref="A30:B30"/>
    <mergeCell ref="C30:F30"/>
    <mergeCell ref="A24:F24"/>
    <mergeCell ref="A25:F25"/>
    <mergeCell ref="A26:B26"/>
    <mergeCell ref="C26:F26"/>
    <mergeCell ref="A27:B27"/>
    <mergeCell ref="C27:F27"/>
    <mergeCell ref="A1:F6"/>
    <mergeCell ref="A7:F7"/>
    <mergeCell ref="A8:F8"/>
    <mergeCell ref="A9:B9"/>
    <mergeCell ref="C9:F9"/>
    <mergeCell ref="A10:B10"/>
    <mergeCell ref="C10:F10"/>
    <mergeCell ref="A15:B17"/>
    <mergeCell ref="C15:F15"/>
    <mergeCell ref="C16:F16"/>
    <mergeCell ref="C17:F17"/>
    <mergeCell ref="A11:F11"/>
    <mergeCell ref="A12:F12"/>
    <mergeCell ref="A13:B13"/>
    <mergeCell ref="C13:F13"/>
    <mergeCell ref="A14:B14"/>
    <mergeCell ref="C14:F14"/>
  </mergeCells>
  <hyperlinks>
    <hyperlink ref="C9" r:id="rId1" location="/134037411" display="PGEA: 1.23.000.000176/2024-97" xr:uid="{50AFF079-067D-4C9D-AC71-81808ED33EB5}"/>
    <hyperlink ref="C27" r:id="rId2" display="4110-05 - Auxiliar de escritório" xr:uid="{3CC4653A-4E86-453C-8052-24FF8F059475}"/>
    <hyperlink ref="C27:F27" r:id="rId3" display="CBO 7827-05 - Marinheiro de convés (marítimo e fluviário)" xr:uid="{E4C832B7-01B0-4B44-9892-472756458085}"/>
  </hyperlinks>
  <pageMargins left="0.7" right="0.7" top="0.75" bottom="0.75" header="0.3" footer="0.3"/>
  <pageSetup paperSize="9" orientation="portrait" r:id="rId4"/>
  <drawing r:id="rId5"/>
  <legacyDrawing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10</vt:i4>
      </vt:variant>
      <vt:variant>
        <vt:lpstr>Intervalos Nomeados</vt:lpstr>
      </vt:variant>
      <vt:variant>
        <vt:i4>2</vt:i4>
      </vt:variant>
    </vt:vector>
  </HeadingPairs>
  <TitlesOfParts>
    <vt:vector size="12" baseType="lpstr">
      <vt:lpstr>INSTRUÇOES PARA PREENCHIMENTO</vt:lpstr>
      <vt:lpstr>Proposta de Preços</vt:lpstr>
      <vt:lpstr>NP</vt:lpstr>
      <vt:lpstr>PC</vt:lpstr>
      <vt:lpstr>Salários.VA.VT.QteDias.LDI.T</vt:lpstr>
      <vt:lpstr>Unif</vt:lpstr>
      <vt:lpstr>Materiais + MLPH</vt:lpstr>
      <vt:lpstr>EPIs</vt:lpstr>
      <vt:lpstr>Marinheiro</vt:lpstr>
      <vt:lpstr>Piloto de Embarcações</vt:lpstr>
      <vt:lpstr>'INSTRUÇOES PARA PREENCHIMENTO'!Area_de_impressao</vt:lpstr>
      <vt:lpstr>'INSTRUÇOES PARA PREENCHIMENTO'!Print_Area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Lyuity Yokoyama</dc:creator>
  <cp:keywords/>
  <dc:description/>
  <cp:lastModifiedBy>Jefferson Feijó</cp:lastModifiedBy>
  <cp:revision/>
  <dcterms:created xsi:type="dcterms:W3CDTF">2024-07-11T20:10:42Z</dcterms:created>
  <dcterms:modified xsi:type="dcterms:W3CDTF">2025-06-17T14:40:22Z</dcterms:modified>
  <cp:category/>
  <cp:contentStatus/>
</cp:coreProperties>
</file>